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0515" windowHeight="1215" activeTab="1"/>
  </bookViews>
  <sheets>
    <sheet name="KHÓA 2018" sheetId="1" r:id="rId1"/>
    <sheet name="KHÓA 2017" sheetId="2" r:id="rId2"/>
  </sheets>
  <calcPr calcId="144525"/>
</workbook>
</file>

<file path=xl/calcChain.xml><?xml version="1.0" encoding="utf-8"?>
<calcChain xmlns="http://schemas.openxmlformats.org/spreadsheetml/2006/main">
  <c r="M35" i="2" l="1"/>
  <c r="K34" i="2"/>
  <c r="Z33" i="2"/>
  <c r="Y33" i="2"/>
  <c r="S33" i="2"/>
  <c r="R33" i="2"/>
  <c r="U33" i="2" s="1"/>
  <c r="T33" i="2"/>
  <c r="Y32" i="2"/>
  <c r="S32" i="2"/>
  <c r="R32" i="2"/>
  <c r="Y28" i="2"/>
  <c r="S28" i="2"/>
  <c r="R28" i="2"/>
  <c r="Y26" i="2"/>
  <c r="S26" i="2"/>
  <c r="R26" i="2"/>
  <c r="Y25" i="2"/>
  <c r="S25" i="2"/>
  <c r="R25" i="2"/>
  <c r="Z29" i="2"/>
  <c r="Y29" i="2"/>
  <c r="S29" i="2"/>
  <c r="R29" i="2"/>
  <c r="Y24" i="2"/>
  <c r="S24" i="2"/>
  <c r="R24" i="2"/>
  <c r="Z18" i="2"/>
  <c r="Y18" i="2"/>
  <c r="S18" i="2"/>
  <c r="R18" i="2"/>
  <c r="Z23" i="2"/>
  <c r="Y23" i="2"/>
  <c r="S23" i="2"/>
  <c r="R23" i="2"/>
  <c r="Y22" i="2"/>
  <c r="S22" i="2"/>
  <c r="R22" i="2"/>
  <c r="Y19" i="2"/>
  <c r="S19" i="2"/>
  <c r="R19" i="2"/>
  <c r="Y16" i="2"/>
  <c r="S16" i="2"/>
  <c r="R16" i="2"/>
  <c r="Y14" i="2"/>
  <c r="S14" i="2"/>
  <c r="R14" i="2"/>
  <c r="H16" i="1"/>
  <c r="Y11" i="2"/>
  <c r="S11" i="2"/>
  <c r="R11" i="2"/>
  <c r="Y8" i="2"/>
  <c r="AB8" i="2" s="1"/>
  <c r="AD8" i="2" s="1"/>
  <c r="S8" i="2"/>
  <c r="T8" i="2" s="1"/>
  <c r="R8" i="2"/>
  <c r="AA8" i="2"/>
  <c r="U8" i="2"/>
  <c r="W8" i="2" s="1"/>
  <c r="Y7" i="2"/>
  <c r="S7" i="2"/>
  <c r="R7" i="2"/>
  <c r="Y5" i="2"/>
  <c r="U6" i="2"/>
  <c r="W6" i="2" s="1"/>
  <c r="S5" i="2"/>
  <c r="R5" i="2"/>
  <c r="AA6" i="2"/>
  <c r="AB6" i="2"/>
  <c r="AD6" i="2" s="1"/>
  <c r="Y6" i="2"/>
  <c r="T6" i="2"/>
  <c r="S6" i="2"/>
  <c r="R6" i="2"/>
  <c r="Y3" i="2"/>
  <c r="T3" i="2"/>
  <c r="S3" i="2"/>
  <c r="U3" i="2"/>
  <c r="U2" i="2"/>
  <c r="R3" i="2"/>
  <c r="D27" i="2"/>
  <c r="D12" i="2"/>
  <c r="B26" i="2" l="1"/>
  <c r="D26" i="2" s="1"/>
  <c r="I25" i="2"/>
  <c r="M25" i="2" s="1"/>
  <c r="O25" i="2" s="1"/>
  <c r="B25" i="2"/>
  <c r="B28" i="2"/>
  <c r="I28" i="2"/>
  <c r="B29" i="2"/>
  <c r="I29" i="2"/>
  <c r="K29" i="2" s="1"/>
  <c r="I21" i="2"/>
  <c r="M21" i="2" s="1"/>
  <c r="O21" i="2" s="1"/>
  <c r="B21" i="2"/>
  <c r="E21" i="2" s="1"/>
  <c r="G21" i="2" s="1"/>
  <c r="K21" i="2"/>
  <c r="D21" i="2"/>
  <c r="B24" i="2"/>
  <c r="E24" i="2" s="1"/>
  <c r="G24" i="2" s="1"/>
  <c r="D24" i="2"/>
  <c r="K24" i="2"/>
  <c r="J24" i="2"/>
  <c r="I24" i="2"/>
  <c r="J23" i="2"/>
  <c r="I23" i="2"/>
  <c r="K23" i="2" s="1"/>
  <c r="B23" i="2"/>
  <c r="D23" i="2" s="1"/>
  <c r="B22" i="2"/>
  <c r="J22" i="2"/>
  <c r="K22" i="2" s="1"/>
  <c r="I22" i="2"/>
  <c r="B19" i="2"/>
  <c r="I19" i="2"/>
  <c r="I18" i="2"/>
  <c r="M18" i="2" s="1"/>
  <c r="O18" i="2" s="1"/>
  <c r="B18" i="2"/>
  <c r="B16" i="2"/>
  <c r="I16" i="2"/>
  <c r="K16" i="2" s="1"/>
  <c r="I15" i="2"/>
  <c r="B15" i="2"/>
  <c r="I14" i="2"/>
  <c r="M14" i="2" s="1"/>
  <c r="O14" i="2" s="1"/>
  <c r="B14" i="2"/>
  <c r="I11" i="2"/>
  <c r="B11" i="2"/>
  <c r="I13" i="2"/>
  <c r="M13" i="2" s="1"/>
  <c r="O13" i="2" s="1"/>
  <c r="B13" i="2"/>
  <c r="I10" i="2"/>
  <c r="M10" i="2" s="1"/>
  <c r="O10" i="2" s="1"/>
  <c r="B10" i="2"/>
  <c r="D10" i="2" s="1"/>
  <c r="I9" i="2"/>
  <c r="B9" i="2"/>
  <c r="I7" i="2"/>
  <c r="K7" i="2" s="1"/>
  <c r="B7" i="2"/>
  <c r="I5" i="2"/>
  <c r="B5" i="2"/>
  <c r="I6" i="2"/>
  <c r="M6" i="2" s="1"/>
  <c r="O6" i="2" s="1"/>
  <c r="B6" i="2"/>
  <c r="D6" i="2" s="1"/>
  <c r="K6" i="2"/>
  <c r="E6" i="2"/>
  <c r="G6" i="2"/>
  <c r="I4" i="2"/>
  <c r="B4" i="2"/>
  <c r="D4" i="2" s="1"/>
  <c r="B2" i="2"/>
  <c r="I3" i="2"/>
  <c r="K3" i="2" s="1"/>
  <c r="B3" i="2"/>
  <c r="AB34" i="2"/>
  <c r="AD34" i="2" s="1"/>
  <c r="AA34" i="2"/>
  <c r="W34" i="2"/>
  <c r="AB33" i="2"/>
  <c r="AD33" i="2" s="1"/>
  <c r="AA33" i="2"/>
  <c r="W33" i="2"/>
  <c r="AB32" i="2"/>
  <c r="AD32" i="2" s="1"/>
  <c r="AA32" i="2"/>
  <c r="U32" i="2"/>
  <c r="W32" i="2" s="1"/>
  <c r="AB31" i="2"/>
  <c r="AD31" i="2" s="1"/>
  <c r="U31" i="2"/>
  <c r="W31" i="2" s="1"/>
  <c r="AB30" i="2"/>
  <c r="AD30" i="2" s="1"/>
  <c r="U30" i="2"/>
  <c r="W30" i="2" s="1"/>
  <c r="O30" i="2"/>
  <c r="M30" i="2"/>
  <c r="E30" i="2"/>
  <c r="G30" i="2" s="1"/>
  <c r="AB29" i="2"/>
  <c r="AD29" i="2" s="1"/>
  <c r="U29" i="2"/>
  <c r="W29" i="2" s="1"/>
  <c r="M29" i="2"/>
  <c r="O29" i="2" s="1"/>
  <c r="E29" i="2"/>
  <c r="G29" i="2" s="1"/>
  <c r="D29" i="2"/>
  <c r="AB28" i="2"/>
  <c r="AD28" i="2" s="1"/>
  <c r="AA28" i="2"/>
  <c r="U27" i="2"/>
  <c r="W27" i="2" s="1"/>
  <c r="M27" i="2"/>
  <c r="O27" i="2" s="1"/>
  <c r="E27" i="2"/>
  <c r="G27" i="2" s="1"/>
  <c r="AB26" i="2"/>
  <c r="AD26" i="2" s="1"/>
  <c r="AA26" i="2"/>
  <c r="U26" i="2"/>
  <c r="W26" i="2" s="1"/>
  <c r="K26" i="2"/>
  <c r="M26" i="2"/>
  <c r="O26" i="2" s="1"/>
  <c r="E26" i="2"/>
  <c r="G26" i="2" s="1"/>
  <c r="AA25" i="2"/>
  <c r="AB25" i="2"/>
  <c r="AD25" i="2" s="1"/>
  <c r="U25" i="2"/>
  <c r="W25" i="2" s="1"/>
  <c r="T25" i="2"/>
  <c r="K25" i="2"/>
  <c r="E25" i="2"/>
  <c r="G25" i="2" s="1"/>
  <c r="D25" i="2"/>
  <c r="AB24" i="2"/>
  <c r="AD24" i="2" s="1"/>
  <c r="AA24" i="2"/>
  <c r="U24" i="2"/>
  <c r="W24" i="2" s="1"/>
  <c r="T24" i="2"/>
  <c r="M24" i="2"/>
  <c r="O24" i="2" s="1"/>
  <c r="AB23" i="2"/>
  <c r="AD23" i="2" s="1"/>
  <c r="AA23" i="2"/>
  <c r="U23" i="2"/>
  <c r="W23" i="2" s="1"/>
  <c r="T23" i="2"/>
  <c r="M23" i="2"/>
  <c r="O23" i="2" s="1"/>
  <c r="E23" i="2"/>
  <c r="G23" i="2" s="1"/>
  <c r="AB22" i="2"/>
  <c r="AD22" i="2" s="1"/>
  <c r="AA22" i="2"/>
  <c r="U22" i="2"/>
  <c r="W22" i="2" s="1"/>
  <c r="M22" i="2"/>
  <c r="O22" i="2" s="1"/>
  <c r="E22" i="2"/>
  <c r="G22" i="2" s="1"/>
  <c r="D22" i="2"/>
  <c r="AB21" i="2"/>
  <c r="AD21" i="2" s="1"/>
  <c r="AA21" i="2"/>
  <c r="U21" i="2"/>
  <c r="W21" i="2" s="1"/>
  <c r="T21" i="2"/>
  <c r="AB20" i="2"/>
  <c r="AD20" i="2" s="1"/>
  <c r="AA20" i="2"/>
  <c r="U20" i="2"/>
  <c r="W20" i="2" s="1"/>
  <c r="T20" i="2"/>
  <c r="M20" i="2"/>
  <c r="O20" i="2" s="1"/>
  <c r="K20" i="2"/>
  <c r="E20" i="2"/>
  <c r="G20" i="2" s="1"/>
  <c r="D20" i="2"/>
  <c r="AB19" i="2"/>
  <c r="AD19" i="2" s="1"/>
  <c r="AA19" i="2"/>
  <c r="U19" i="2"/>
  <c r="W19" i="2" s="1"/>
  <c r="T19" i="2"/>
  <c r="M19" i="2"/>
  <c r="O19" i="2" s="1"/>
  <c r="K19" i="2"/>
  <c r="D19" i="2"/>
  <c r="E19" i="2"/>
  <c r="G19" i="2" s="1"/>
  <c r="AB18" i="2"/>
  <c r="AD18" i="2" s="1"/>
  <c r="AA18" i="2"/>
  <c r="U18" i="2"/>
  <c r="W18" i="2" s="1"/>
  <c r="K18" i="2"/>
  <c r="AB17" i="2"/>
  <c r="AD17" i="2" s="1"/>
  <c r="AA17" i="2"/>
  <c r="U17" i="2"/>
  <c r="W17" i="2" s="1"/>
  <c r="T17" i="2"/>
  <c r="M17" i="2"/>
  <c r="O17" i="2" s="1"/>
  <c r="K17" i="2"/>
  <c r="D17" i="2"/>
  <c r="E17" i="2"/>
  <c r="G17" i="2" s="1"/>
  <c r="AA16" i="2"/>
  <c r="AB16" i="2"/>
  <c r="AD16" i="2" s="1"/>
  <c r="U16" i="2"/>
  <c r="W16" i="2" s="1"/>
  <c r="T16" i="2"/>
  <c r="M16" i="2"/>
  <c r="O16" i="2" s="1"/>
  <c r="E16" i="2"/>
  <c r="G16" i="2" s="1"/>
  <c r="D16" i="2"/>
  <c r="AB15" i="2"/>
  <c r="AD15" i="2" s="1"/>
  <c r="AA15" i="2"/>
  <c r="U15" i="2"/>
  <c r="W15" i="2" s="1"/>
  <c r="T15" i="2"/>
  <c r="AB14" i="2"/>
  <c r="AD14" i="2" s="1"/>
  <c r="AA14" i="2"/>
  <c r="U14" i="2"/>
  <c r="W14" i="2" s="1"/>
  <c r="T14" i="2"/>
  <c r="K14" i="2"/>
  <c r="E14" i="2"/>
  <c r="G14" i="2" s="1"/>
  <c r="D14" i="2"/>
  <c r="AB13" i="2"/>
  <c r="AD13" i="2" s="1"/>
  <c r="AA13" i="2"/>
  <c r="U13" i="2"/>
  <c r="W13" i="2" s="1"/>
  <c r="T13" i="2"/>
  <c r="K13" i="2"/>
  <c r="E13" i="2"/>
  <c r="G13" i="2" s="1"/>
  <c r="AB12" i="2"/>
  <c r="AD12" i="2" s="1"/>
  <c r="AA12" i="2"/>
  <c r="M12" i="2"/>
  <c r="O12" i="2" s="1"/>
  <c r="E12" i="2"/>
  <c r="G12" i="2" s="1"/>
  <c r="AB11" i="2"/>
  <c r="AD11" i="2" s="1"/>
  <c r="AA11" i="2"/>
  <c r="M11" i="2"/>
  <c r="O11" i="2" s="1"/>
  <c r="D11" i="2"/>
  <c r="E11" i="2"/>
  <c r="G11" i="2" s="1"/>
  <c r="AB10" i="2"/>
  <c r="AD10" i="2" s="1"/>
  <c r="AA10" i="2"/>
  <c r="E10" i="2"/>
  <c r="G10" i="2" s="1"/>
  <c r="AB9" i="2"/>
  <c r="AD9" i="2" s="1"/>
  <c r="AA9" i="2"/>
  <c r="M9" i="2"/>
  <c r="O9" i="2" s="1"/>
  <c r="K9" i="2"/>
  <c r="AB7" i="2"/>
  <c r="AD7" i="2" s="1"/>
  <c r="AA7" i="2"/>
  <c r="U7" i="2"/>
  <c r="W7" i="2" s="1"/>
  <c r="T7" i="2"/>
  <c r="M7" i="2"/>
  <c r="O7" i="2" s="1"/>
  <c r="E7" i="2"/>
  <c r="G7" i="2" s="1"/>
  <c r="D7" i="2"/>
  <c r="AB5" i="2"/>
  <c r="AD5" i="2" s="1"/>
  <c r="AA5" i="2"/>
  <c r="U5" i="2"/>
  <c r="W5" i="2" s="1"/>
  <c r="T5" i="2"/>
  <c r="M5" i="2"/>
  <c r="O5" i="2" s="1"/>
  <c r="K5" i="2"/>
  <c r="E5" i="2"/>
  <c r="G5" i="2" s="1"/>
  <c r="AB4" i="2"/>
  <c r="AD4" i="2" s="1"/>
  <c r="AA4" i="2"/>
  <c r="U4" i="2"/>
  <c r="W4" i="2" s="1"/>
  <c r="T4" i="2"/>
  <c r="M4" i="2"/>
  <c r="O4" i="2" s="1"/>
  <c r="K4" i="2"/>
  <c r="AD3" i="2"/>
  <c r="AB3" i="2"/>
  <c r="AA3" i="2"/>
  <c r="W3" i="2"/>
  <c r="M3" i="2"/>
  <c r="O3" i="2" s="1"/>
  <c r="E3" i="2"/>
  <c r="G3" i="2" s="1"/>
  <c r="D3" i="2"/>
  <c r="AB2" i="2"/>
  <c r="AD2" i="2" s="1"/>
  <c r="AA2" i="2"/>
  <c r="W2" i="2"/>
  <c r="T2" i="2"/>
  <c r="M2" i="2"/>
  <c r="O2" i="2" s="1"/>
  <c r="K2" i="2"/>
  <c r="D2" i="2"/>
  <c r="E4" i="2" l="1"/>
  <c r="G4" i="2" s="1"/>
  <c r="E9" i="2"/>
  <c r="G9" i="2" s="1"/>
  <c r="D9" i="2"/>
  <c r="K10" i="2"/>
  <c r="E2" i="2"/>
  <c r="G2" i="2" s="1"/>
  <c r="U10" i="2"/>
  <c r="W10" i="2" s="1"/>
  <c r="T10" i="2"/>
  <c r="K11" i="2"/>
  <c r="M15" i="2"/>
  <c r="O15" i="2" s="1"/>
  <c r="K15" i="2"/>
  <c r="E18" i="2"/>
  <c r="G18" i="2" s="1"/>
  <c r="D18" i="2"/>
  <c r="T28" i="2"/>
  <c r="U28" i="2"/>
  <c r="W28" i="2" s="1"/>
  <c r="U11" i="2"/>
  <c r="W11" i="2" s="1"/>
  <c r="T11" i="2"/>
  <c r="U12" i="2"/>
  <c r="W12" i="2" s="1"/>
  <c r="T12" i="2"/>
  <c r="AB27" i="2"/>
  <c r="AD27" i="2" s="1"/>
  <c r="AA27" i="2"/>
  <c r="E15" i="2"/>
  <c r="G15" i="2" s="1"/>
  <c r="D15" i="2"/>
  <c r="E28" i="2"/>
  <c r="G28" i="2" s="1"/>
  <c r="D28" i="2"/>
  <c r="D5" i="2"/>
  <c r="U9" i="2"/>
  <c r="W9" i="2" s="1"/>
  <c r="T9" i="2"/>
  <c r="D13" i="2"/>
  <c r="M28" i="2"/>
  <c r="O28" i="2" s="1"/>
  <c r="K28" i="2"/>
  <c r="T26" i="2"/>
  <c r="T27" i="2"/>
  <c r="T29" i="2"/>
  <c r="AA29" i="2"/>
  <c r="T32" i="2"/>
  <c r="T18" i="2"/>
  <c r="T22" i="2"/>
  <c r="Y28" i="1"/>
  <c r="AA28" i="1" s="1"/>
  <c r="I4" i="1"/>
  <c r="AB3" i="1"/>
  <c r="AD3" i="1"/>
  <c r="AB4" i="1"/>
  <c r="AD4" i="1" s="1"/>
  <c r="AB5" i="1"/>
  <c r="AD5" i="1"/>
  <c r="AB6" i="1"/>
  <c r="AD6" i="1" s="1"/>
  <c r="AB7" i="1"/>
  <c r="AD7" i="1"/>
  <c r="AB8" i="1"/>
  <c r="AD8" i="1" s="1"/>
  <c r="AB9" i="1"/>
  <c r="AD9" i="1"/>
  <c r="AB10" i="1"/>
  <c r="AD10" i="1" s="1"/>
  <c r="AB11" i="1"/>
  <c r="AD11" i="1"/>
  <c r="AB12" i="1"/>
  <c r="AD12" i="1" s="1"/>
  <c r="AB13" i="1"/>
  <c r="AD13" i="1"/>
  <c r="AB14" i="1"/>
  <c r="AD14" i="1" s="1"/>
  <c r="AB15" i="1"/>
  <c r="AD15" i="1"/>
  <c r="AB16" i="1"/>
  <c r="AD16" i="1" s="1"/>
  <c r="AB17" i="1"/>
  <c r="AD17" i="1"/>
  <c r="AB18" i="1"/>
  <c r="AD18" i="1" s="1"/>
  <c r="AB19" i="1"/>
  <c r="AD19" i="1"/>
  <c r="AB20" i="1"/>
  <c r="AD20" i="1" s="1"/>
  <c r="AB21" i="1"/>
  <c r="AD21" i="1"/>
  <c r="AB22" i="1"/>
  <c r="AD22" i="1" s="1"/>
  <c r="AB23" i="1"/>
  <c r="AD23" i="1"/>
  <c r="AB24" i="1"/>
  <c r="AD24" i="1" s="1"/>
  <c r="AB25" i="1"/>
  <c r="AD25" i="1"/>
  <c r="AB26" i="1"/>
  <c r="AD26" i="1" s="1"/>
  <c r="AB27" i="1"/>
  <c r="AD27" i="1"/>
  <c r="AB28" i="1"/>
  <c r="AD28" i="1" s="1"/>
  <c r="AB29" i="1"/>
  <c r="AD29" i="1"/>
  <c r="AB30" i="1"/>
  <c r="AD30" i="1" s="1"/>
  <c r="AB31" i="1"/>
  <c r="AD31" i="1"/>
  <c r="AB32" i="1"/>
  <c r="AD32" i="1" s="1"/>
  <c r="AB33" i="1"/>
  <c r="AD33" i="1"/>
  <c r="AB2" i="1"/>
  <c r="AD2" i="1"/>
  <c r="U3" i="1"/>
  <c r="W3" i="1"/>
  <c r="U4" i="1"/>
  <c r="W4" i="1" s="1"/>
  <c r="U5" i="1"/>
  <c r="W5" i="1"/>
  <c r="U6" i="1"/>
  <c r="W6" i="1" s="1"/>
  <c r="U7" i="1"/>
  <c r="W7" i="1"/>
  <c r="U8" i="1"/>
  <c r="W8" i="1" s="1"/>
  <c r="U9" i="1"/>
  <c r="W9" i="1"/>
  <c r="U10" i="1"/>
  <c r="W10" i="1" s="1"/>
  <c r="U11" i="1"/>
  <c r="W11" i="1"/>
  <c r="U12" i="1"/>
  <c r="W12" i="1" s="1"/>
  <c r="U13" i="1"/>
  <c r="W13" i="1"/>
  <c r="U14" i="1"/>
  <c r="W14" i="1" s="1"/>
  <c r="U15" i="1"/>
  <c r="W15" i="1"/>
  <c r="U16" i="1"/>
  <c r="W16" i="1" s="1"/>
  <c r="U17" i="1"/>
  <c r="W17" i="1"/>
  <c r="U18" i="1"/>
  <c r="W18" i="1" s="1"/>
  <c r="U19" i="1"/>
  <c r="W19" i="1"/>
  <c r="U20" i="1"/>
  <c r="W20" i="1" s="1"/>
  <c r="U21" i="1"/>
  <c r="W21" i="1"/>
  <c r="U22" i="1"/>
  <c r="W22" i="1" s="1"/>
  <c r="U23" i="1"/>
  <c r="W23" i="1"/>
  <c r="U24" i="1"/>
  <c r="W24" i="1" s="1"/>
  <c r="U25" i="1"/>
  <c r="W25" i="1"/>
  <c r="U26" i="1"/>
  <c r="W26" i="1" s="1"/>
  <c r="U27" i="1"/>
  <c r="W27" i="1"/>
  <c r="U28" i="1"/>
  <c r="W28" i="1" s="1"/>
  <c r="U29" i="1"/>
  <c r="W29" i="1"/>
  <c r="U30" i="1"/>
  <c r="W30" i="1" s="1"/>
  <c r="U31" i="1"/>
  <c r="W31" i="1"/>
  <c r="U32" i="1"/>
  <c r="W32" i="1" s="1"/>
  <c r="U33" i="1"/>
  <c r="W33" i="1"/>
  <c r="W2" i="1"/>
  <c r="U2" i="1"/>
  <c r="O3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" i="1"/>
  <c r="G29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2" i="1"/>
  <c r="M3" i="1"/>
  <c r="M4" i="1"/>
  <c r="O4" i="1" s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2" i="1"/>
  <c r="R32" i="1"/>
  <c r="S33" i="1"/>
  <c r="T33" i="1" s="1"/>
  <c r="R33" i="1"/>
  <c r="R31" i="1"/>
  <c r="AA33" i="1"/>
  <c r="AA32" i="1"/>
  <c r="T32" i="1"/>
  <c r="AA31" i="1"/>
  <c r="T31" i="1"/>
  <c r="K33" i="1"/>
  <c r="Y27" i="1"/>
  <c r="S27" i="1"/>
  <c r="R27" i="1"/>
  <c r="S25" i="1"/>
  <c r="T25" i="1" s="1"/>
  <c r="R25" i="1"/>
  <c r="R26" i="1"/>
  <c r="Y24" i="1"/>
  <c r="S24" i="1"/>
  <c r="R24" i="1"/>
  <c r="S23" i="1"/>
  <c r="R23" i="1"/>
  <c r="T23" i="1"/>
  <c r="AA23" i="1"/>
  <c r="S22" i="1"/>
  <c r="R22" i="1"/>
  <c r="S21" i="1"/>
  <c r="T21" i="1" s="1"/>
  <c r="R21" i="1"/>
  <c r="S10" i="1"/>
  <c r="T10" i="1" s="1"/>
  <c r="R10" i="1"/>
  <c r="S4" i="1"/>
  <c r="T4" i="1" s="1"/>
  <c r="R4" i="1"/>
  <c r="S6" i="1"/>
  <c r="R6" i="1"/>
  <c r="S17" i="1"/>
  <c r="R17" i="1"/>
  <c r="T17" i="1" s="1"/>
  <c r="S20" i="1"/>
  <c r="R20" i="1"/>
  <c r="T20" i="1"/>
  <c r="AA20" i="1"/>
  <c r="S19" i="1"/>
  <c r="R19" i="1"/>
  <c r="S18" i="1"/>
  <c r="R18" i="1"/>
  <c r="T18" i="1" s="1"/>
  <c r="S28" i="1"/>
  <c r="R28" i="1"/>
  <c r="T28" i="1" s="1"/>
  <c r="Y26" i="1"/>
  <c r="S26" i="1"/>
  <c r="T26" i="1"/>
  <c r="AA26" i="1"/>
  <c r="Y15" i="1"/>
  <c r="S15" i="1"/>
  <c r="R15" i="1"/>
  <c r="S8" i="1"/>
  <c r="T8" i="1" s="1"/>
  <c r="R8" i="1"/>
  <c r="S11" i="1"/>
  <c r="R11" i="1"/>
  <c r="AA11" i="1"/>
  <c r="S9" i="1"/>
  <c r="R9" i="1"/>
  <c r="S3" i="1"/>
  <c r="R3" i="1"/>
  <c r="Y2" i="1"/>
  <c r="R2" i="1"/>
  <c r="S2" i="1"/>
  <c r="T7" i="1"/>
  <c r="AA7" i="1"/>
  <c r="AA8" i="1"/>
  <c r="AA9" i="1"/>
  <c r="AA10" i="1"/>
  <c r="T12" i="1"/>
  <c r="AA12" i="1"/>
  <c r="T13" i="1"/>
  <c r="AA13" i="1"/>
  <c r="T14" i="1"/>
  <c r="AA14" i="1"/>
  <c r="AA15" i="1"/>
  <c r="T16" i="1"/>
  <c r="AA16" i="1"/>
  <c r="AA17" i="1"/>
  <c r="AA18" i="1"/>
  <c r="T19" i="1"/>
  <c r="AA19" i="1"/>
  <c r="AA21" i="1"/>
  <c r="T22" i="1"/>
  <c r="AA22" i="1"/>
  <c r="T24" i="1"/>
  <c r="AA24" i="1"/>
  <c r="AA25" i="1"/>
  <c r="T27" i="1"/>
  <c r="AA27" i="1"/>
  <c r="AA6" i="1"/>
  <c r="T6" i="1"/>
  <c r="AA5" i="1"/>
  <c r="T5" i="1"/>
  <c r="AA4" i="1"/>
  <c r="AA3" i="1"/>
  <c r="T3" i="1"/>
  <c r="AA2" i="1"/>
  <c r="T2" i="1"/>
  <c r="I27" i="1"/>
  <c r="B27" i="1"/>
  <c r="I25" i="1"/>
  <c r="K25" i="1" s="1"/>
  <c r="B25" i="1"/>
  <c r="I24" i="1"/>
  <c r="B24" i="1"/>
  <c r="B22" i="1"/>
  <c r="D22" i="1" s="1"/>
  <c r="K22" i="1"/>
  <c r="D24" i="1"/>
  <c r="K24" i="1"/>
  <c r="D25" i="1"/>
  <c r="D27" i="1"/>
  <c r="K27" i="1"/>
  <c r="D28" i="1"/>
  <c r="K28" i="1"/>
  <c r="B19" i="1"/>
  <c r="D19" i="1" s="1"/>
  <c r="B18" i="1"/>
  <c r="B17" i="1"/>
  <c r="B16" i="1"/>
  <c r="I15" i="1"/>
  <c r="B15" i="1"/>
  <c r="I14" i="1"/>
  <c r="K14" i="1" s="1"/>
  <c r="B14" i="1"/>
  <c r="B12" i="1"/>
  <c r="D12" i="1"/>
  <c r="I10" i="1"/>
  <c r="B10" i="1"/>
  <c r="I9" i="1"/>
  <c r="K9" i="1" s="1"/>
  <c r="B9" i="1"/>
  <c r="D9" i="1" s="1"/>
  <c r="B8" i="1"/>
  <c r="I7" i="1"/>
  <c r="B7" i="1"/>
  <c r="B6" i="1"/>
  <c r="D6" i="1" s="1"/>
  <c r="B5" i="1"/>
  <c r="D5" i="1" s="1"/>
  <c r="B4" i="1"/>
  <c r="B3" i="1"/>
  <c r="D3" i="1" s="1"/>
  <c r="K21" i="1"/>
  <c r="K19" i="1"/>
  <c r="K18" i="1"/>
  <c r="K17" i="1"/>
  <c r="K16" i="1"/>
  <c r="K15" i="1"/>
  <c r="K13" i="1"/>
  <c r="K12" i="1"/>
  <c r="K10" i="1"/>
  <c r="K8" i="1"/>
  <c r="K7" i="1"/>
  <c r="K6" i="1"/>
  <c r="K5" i="1"/>
  <c r="K4" i="1"/>
  <c r="K3" i="1"/>
  <c r="K2" i="1"/>
  <c r="D4" i="1"/>
  <c r="D7" i="1"/>
  <c r="D8" i="1"/>
  <c r="D10" i="1"/>
  <c r="D13" i="1"/>
  <c r="D14" i="1"/>
  <c r="D15" i="1"/>
  <c r="D16" i="1"/>
  <c r="D17" i="1"/>
  <c r="D18" i="1"/>
  <c r="D21" i="1"/>
  <c r="B2" i="1"/>
  <c r="D2" i="1" s="1"/>
  <c r="T9" i="1" l="1"/>
  <c r="T11" i="1"/>
  <c r="T15" i="1"/>
</calcChain>
</file>

<file path=xl/sharedStrings.xml><?xml version="1.0" encoding="utf-8"?>
<sst xmlns="http://schemas.openxmlformats.org/spreadsheetml/2006/main" count="119" uniqueCount="63">
  <si>
    <t>XD</t>
  </si>
  <si>
    <t>CĐT</t>
  </si>
  <si>
    <t>Phần II (trừ môn chung)</t>
  </si>
  <si>
    <t>Toàn chương trình</t>
  </si>
  <si>
    <t>CNKT Đ-ĐT</t>
  </si>
  <si>
    <t>CNKT ĐKTĐH</t>
  </si>
  <si>
    <t>ĐCN</t>
  </si>
  <si>
    <t>CNKT NHIỆT</t>
  </si>
  <si>
    <t>KTMLĐHKK</t>
  </si>
  <si>
    <t>VHSCTBL</t>
  </si>
  <si>
    <t>CNKT CƠ KHÍ</t>
  </si>
  <si>
    <t>CTM</t>
  </si>
  <si>
    <t>CGKL</t>
  </si>
  <si>
    <t>BTHTTBCN</t>
  </si>
  <si>
    <t>CNÔ</t>
  </si>
  <si>
    <t>TMĐT</t>
  </si>
  <si>
    <t>QTMMT</t>
  </si>
  <si>
    <t>CNKTMT</t>
  </si>
  <si>
    <t>TKĐH</t>
  </si>
  <si>
    <t>LTMT</t>
  </si>
  <si>
    <t>THUD</t>
  </si>
  <si>
    <t>KTD</t>
  </si>
  <si>
    <t>QTD</t>
  </si>
  <si>
    <t>TA</t>
  </si>
  <si>
    <t>CNM</t>
  </si>
  <si>
    <t>14/23 NGÀNH</t>
  </si>
  <si>
    <t>21/23 NGÀNH</t>
  </si>
  <si>
    <t>CĐ</t>
  </si>
  <si>
    <t>CKCT</t>
  </si>
  <si>
    <t>Tài chính dn</t>
  </si>
  <si>
    <t>ANM</t>
  </si>
  <si>
    <t>TKW</t>
  </si>
  <si>
    <t>TC</t>
  </si>
  <si>
    <t>Tổng cộng</t>
  </si>
  <si>
    <t>cđ</t>
  </si>
  <si>
    <t>tc</t>
  </si>
  <si>
    <t>T2</t>
  </si>
  <si>
    <t>T5+6</t>
  </si>
  <si>
    <t>T7</t>
  </si>
  <si>
    <t>19/24 NGÀNH</t>
  </si>
  <si>
    <t>24/24 NGÀNH</t>
  </si>
  <si>
    <t>khác (t2,5,7)</t>
  </si>
  <si>
    <t>Chung (9+3 không tính môn văn hóa)</t>
  </si>
  <si>
    <t>Thống kê</t>
  </si>
  <si>
    <t>Trừ phần môn chung (từ II)</t>
  </si>
  <si>
    <t>45/47</t>
  </si>
  <si>
    <t># 95,7</t>
  </si>
  <si>
    <t>33/47</t>
  </si>
  <si>
    <t># 70,2 %</t>
  </si>
  <si>
    <t>TÍN CHỈ</t>
  </si>
  <si>
    <t>TTTN</t>
  </si>
  <si>
    <t>ĐTCN</t>
  </si>
  <si>
    <t>13/23 NGÀNH</t>
  </si>
  <si>
    <t>23/23 NGÀNH</t>
  </si>
  <si>
    <t>Phần III (trừ môn chung)</t>
  </si>
  <si>
    <t>LĐTBL</t>
  </si>
  <si>
    <t>16/19 NGÀNH</t>
  </si>
  <si>
    <t>19/19 NGÀNH</t>
  </si>
  <si>
    <t>khác (t2)</t>
  </si>
  <si>
    <t>29/42</t>
  </si>
  <si>
    <t># 69 %</t>
  </si>
  <si>
    <t>42/42</t>
  </si>
  <si>
    <t>#100%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</si>
</sst>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3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0" fillId="0" borderId="0" xfId="0" applyFill="1"/>
    <xf numFmtId="0" fontId="0" fillId="5" borderId="0" xfId="0" applyFill="1"/>
    <xf numFmtId="0" fontId="0" fillId="0" borderId="0" xfId="0" applyAlignment="1">
      <alignment horizontal="right"/>
    </xf>
    <xf numFmtId="0" fontId="0" fillId="0" borderId="1" xfId="0" applyBorder="1"/>
    <xf numFmtId="0" fontId="1" fillId="0" borderId="1" xfId="0" applyFont="1" applyBorder="1"/>
    <xf numFmtId="0" fontId="1" fillId="0" borderId="0" xfId="0" applyFont="1" applyAlignment="1">
      <alignment horizontal="left"/>
    </xf>
    <xf numFmtId="9" fontId="1" fillId="0" borderId="0" xfId="0" applyNumberFormat="1" applyFont="1"/>
    <xf numFmtId="0" fontId="1" fillId="0" borderId="0" xfId="0" applyFont="1" applyAlignment="1">
      <alignment horizontal="center"/>
    </xf>
    <xf numFmtId="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6" borderId="0" xfId="0" applyFill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8"/>
  <sheetViews>
    <sheetView zoomScale="115" zoomScaleNormal="115" workbookViewId="0">
      <pane ySplit="690" topLeftCell="A25" activePane="bottomLeft"/>
      <selection activeCell="Y2" sqref="Y2"/>
      <selection pane="bottomLeft" activeCell="D32" sqref="D32:K37"/>
    </sheetView>
  </sheetViews>
  <sheetFormatPr defaultRowHeight="15" x14ac:dyDescent="0.25"/>
  <cols>
    <col min="1" max="1" width="15.140625" customWidth="1"/>
    <col min="2" max="3" width="10.7109375" customWidth="1"/>
    <col min="4" max="4" width="14.140625" customWidth="1"/>
    <col min="5" max="6" width="5.28515625" customWidth="1"/>
    <col min="7" max="7" width="7.7109375" style="1" customWidth="1"/>
    <col min="8" max="8" width="12" style="1" customWidth="1"/>
    <col min="9" max="10" width="10.7109375" customWidth="1"/>
    <col min="11" max="11" width="17.140625" customWidth="1"/>
    <col min="12" max="14" width="5.28515625" customWidth="1"/>
    <col min="15" max="15" width="9.7109375" customWidth="1"/>
    <col min="16" max="16" width="3" customWidth="1"/>
    <col min="17" max="17" width="6.5703125" customWidth="1"/>
    <col min="18" max="18" width="7.28515625" customWidth="1"/>
    <col min="19" max="20" width="9.28515625" customWidth="1"/>
    <col min="21" max="21" width="10.7109375" customWidth="1"/>
    <col min="22" max="22" width="10.7109375" style="1" customWidth="1"/>
    <col min="23" max="23" width="10.7109375" customWidth="1"/>
    <col min="24" max="24" width="3.5703125" customWidth="1"/>
    <col min="25" max="25" width="6.28515625" customWidth="1"/>
    <col min="26" max="27" width="8.42578125" customWidth="1"/>
    <col min="28" max="28" width="9.140625" customWidth="1"/>
    <col min="29" max="29" width="9.140625" style="1" customWidth="1"/>
    <col min="30" max="30" width="9.140625" customWidth="1"/>
  </cols>
  <sheetData>
    <row r="1" spans="1:30" x14ac:dyDescent="0.25">
      <c r="B1" s="19" t="s">
        <v>3</v>
      </c>
      <c r="C1" s="19"/>
      <c r="D1" s="19"/>
      <c r="E1" s="12">
        <v>0.4</v>
      </c>
      <c r="F1" s="12" t="s">
        <v>50</v>
      </c>
      <c r="G1" s="16" t="s">
        <v>49</v>
      </c>
      <c r="H1" s="13"/>
      <c r="I1" s="19" t="s">
        <v>2</v>
      </c>
      <c r="J1" s="19"/>
      <c r="K1" s="19"/>
      <c r="M1" s="12">
        <v>0.4</v>
      </c>
      <c r="N1" s="12" t="s">
        <v>50</v>
      </c>
      <c r="O1" s="13" t="s">
        <v>49</v>
      </c>
      <c r="P1" s="13"/>
      <c r="Q1" s="9"/>
      <c r="R1" s="19" t="s">
        <v>3</v>
      </c>
      <c r="S1" s="19"/>
      <c r="T1" s="19"/>
      <c r="U1" s="12">
        <v>0.4</v>
      </c>
      <c r="V1" s="14" t="s">
        <v>50</v>
      </c>
      <c r="W1" s="16" t="s">
        <v>49</v>
      </c>
      <c r="Y1" s="19" t="s">
        <v>54</v>
      </c>
      <c r="Z1" s="19"/>
      <c r="AA1" s="19"/>
      <c r="AB1" s="12">
        <v>0.4</v>
      </c>
      <c r="AC1" s="14" t="s">
        <v>50</v>
      </c>
      <c r="AD1" s="13" t="s">
        <v>49</v>
      </c>
    </row>
    <row r="2" spans="1:30" ht="18.75" customHeight="1" x14ac:dyDescent="0.25">
      <c r="A2" t="s">
        <v>0</v>
      </c>
      <c r="B2">
        <f>930+52</f>
        <v>982</v>
      </c>
      <c r="C2">
        <v>1875</v>
      </c>
      <c r="D2" s="2">
        <f>ROUND(B2*100/C2,1)</f>
        <v>52.4</v>
      </c>
      <c r="E2">
        <f>B2*0.4</f>
        <v>392.8</v>
      </c>
      <c r="F2">
        <v>270</v>
      </c>
      <c r="G2" s="17">
        <f>ROUND((E2-F2)/30,0)</f>
        <v>4</v>
      </c>
      <c r="I2" s="2">
        <v>818</v>
      </c>
      <c r="J2" s="2">
        <v>1395</v>
      </c>
      <c r="K2" s="2">
        <f>ROUND(I2*100/J2,1)</f>
        <v>58.6</v>
      </c>
      <c r="M2">
        <f>I2*0.4</f>
        <v>327.20000000000005</v>
      </c>
      <c r="N2">
        <v>270</v>
      </c>
      <c r="O2" s="1">
        <f>ROUND((M2-N2)/30,0)</f>
        <v>2</v>
      </c>
      <c r="P2" s="1"/>
      <c r="Q2" s="9"/>
      <c r="R2">
        <f>645+20+165+12</f>
        <v>842</v>
      </c>
      <c r="S2">
        <f>390+1050</f>
        <v>1440</v>
      </c>
      <c r="T2" s="7">
        <f>ROUND(R2*100/S2,1)</f>
        <v>58.5</v>
      </c>
      <c r="U2">
        <f>R2*0.4</f>
        <v>336.8</v>
      </c>
      <c r="V2" s="1">
        <v>270</v>
      </c>
      <c r="W2" s="17">
        <f>ROUND((U2-V2)/30,0)</f>
        <v>2</v>
      </c>
      <c r="X2" s="6"/>
      <c r="Y2" s="6">
        <f>645+20</f>
        <v>665</v>
      </c>
      <c r="Z2" s="6">
        <v>1050</v>
      </c>
      <c r="AA2" s="6">
        <f>ROUND(Y2*100/Z2,1)</f>
        <v>63.3</v>
      </c>
      <c r="AB2">
        <f>Y2*0.4</f>
        <v>266</v>
      </c>
      <c r="AC2" s="1">
        <v>270</v>
      </c>
      <c r="AD2" s="1">
        <f>ROUND((AB2-AC2)/30,0)</f>
        <v>0</v>
      </c>
    </row>
    <row r="3" spans="1:30" ht="18.75" customHeight="1" x14ac:dyDescent="0.25">
      <c r="A3" t="s">
        <v>1</v>
      </c>
      <c r="B3">
        <f>1170+44</f>
        <v>1214</v>
      </c>
      <c r="C3">
        <v>1995</v>
      </c>
      <c r="D3">
        <f t="shared" ref="D3:D21" si="0">ROUND(B3*100/C3,1)</f>
        <v>60.9</v>
      </c>
      <c r="E3">
        <f t="shared" ref="E3:E29" si="1">B3*0.4</f>
        <v>485.6</v>
      </c>
      <c r="F3">
        <v>270</v>
      </c>
      <c r="G3" s="17">
        <f t="shared" ref="G3:G28" si="2">ROUND((E3-F3)/30,0)</f>
        <v>7</v>
      </c>
      <c r="K3" t="e">
        <f t="shared" ref="K3:K21" si="3">ROUND(I3*100/J3,1)</f>
        <v>#DIV/0!</v>
      </c>
      <c r="M3">
        <f t="shared" ref="M3:M29" si="4">I3*0.4</f>
        <v>0</v>
      </c>
      <c r="N3">
        <v>270</v>
      </c>
      <c r="O3" s="1">
        <f t="shared" ref="O3:O29" si="5">ROUND((M3-N3)/30,0)</f>
        <v>-9</v>
      </c>
      <c r="P3" s="1"/>
      <c r="Q3" s="9"/>
      <c r="R3">
        <f>795+16+165+12</f>
        <v>988</v>
      </c>
      <c r="S3">
        <f>390+1125</f>
        <v>1515</v>
      </c>
      <c r="T3">
        <f t="shared" ref="T3:T7" si="6">ROUND(R3*100/S3,1)</f>
        <v>65.2</v>
      </c>
      <c r="U3">
        <f t="shared" ref="U3:U33" si="7">R3*0.4</f>
        <v>395.20000000000005</v>
      </c>
      <c r="V3" s="1">
        <v>270</v>
      </c>
      <c r="W3" s="17">
        <f t="shared" ref="W3:W33" si="8">ROUND((U3-V3)/30,0)</f>
        <v>4</v>
      </c>
      <c r="AA3" t="e">
        <f t="shared" ref="AA3:AA7" si="9">ROUND(Y3*100/Z3,1)</f>
        <v>#DIV/0!</v>
      </c>
      <c r="AB3">
        <f t="shared" ref="AB3:AB33" si="10">Y3*0.4</f>
        <v>0</v>
      </c>
      <c r="AC3" s="1">
        <v>270</v>
      </c>
      <c r="AD3" s="1">
        <f t="shared" ref="AD3:AD33" si="11">ROUND((AB3-AC3)/30,0)</f>
        <v>-9</v>
      </c>
    </row>
    <row r="4" spans="1:30" ht="18.75" customHeight="1" x14ac:dyDescent="0.25">
      <c r="A4" t="s">
        <v>4</v>
      </c>
      <c r="B4">
        <f>1170+44</f>
        <v>1214</v>
      </c>
      <c r="C4">
        <v>1995</v>
      </c>
      <c r="D4">
        <f t="shared" si="0"/>
        <v>60.9</v>
      </c>
      <c r="E4">
        <f t="shared" si="1"/>
        <v>485.6</v>
      </c>
      <c r="F4">
        <v>270</v>
      </c>
      <c r="G4" s="17">
        <f t="shared" si="2"/>
        <v>7</v>
      </c>
      <c r="I4" s="3">
        <f>1020+30</f>
        <v>1050</v>
      </c>
      <c r="J4" s="3">
        <v>1515</v>
      </c>
      <c r="K4">
        <f t="shared" si="3"/>
        <v>69.3</v>
      </c>
      <c r="M4">
        <f t="shared" si="4"/>
        <v>420</v>
      </c>
      <c r="N4">
        <v>270</v>
      </c>
      <c r="O4" s="1">
        <f t="shared" si="5"/>
        <v>5</v>
      </c>
      <c r="P4" s="1"/>
      <c r="Q4" s="9"/>
      <c r="R4">
        <f>165+12+735+18</f>
        <v>930</v>
      </c>
      <c r="S4">
        <f>1095+390</f>
        <v>1485</v>
      </c>
      <c r="T4">
        <f t="shared" si="6"/>
        <v>62.6</v>
      </c>
      <c r="U4">
        <f t="shared" si="7"/>
        <v>372</v>
      </c>
      <c r="V4" s="1">
        <v>270</v>
      </c>
      <c r="W4" s="17">
        <f t="shared" si="8"/>
        <v>3</v>
      </c>
      <c r="AA4" t="e">
        <f t="shared" si="9"/>
        <v>#DIV/0!</v>
      </c>
      <c r="AB4">
        <f t="shared" si="10"/>
        <v>0</v>
      </c>
      <c r="AC4" s="1">
        <v>270</v>
      </c>
      <c r="AD4" s="1">
        <f t="shared" si="11"/>
        <v>-9</v>
      </c>
    </row>
    <row r="5" spans="1:30" ht="18.75" customHeight="1" x14ac:dyDescent="0.25">
      <c r="A5" t="s">
        <v>5</v>
      </c>
      <c r="B5">
        <f>1170+44</f>
        <v>1214</v>
      </c>
      <c r="C5">
        <v>1995</v>
      </c>
      <c r="D5">
        <f t="shared" si="0"/>
        <v>60.9</v>
      </c>
      <c r="E5">
        <f t="shared" si="1"/>
        <v>485.6</v>
      </c>
      <c r="F5">
        <v>270</v>
      </c>
      <c r="G5" s="17">
        <f t="shared" si="2"/>
        <v>7</v>
      </c>
      <c r="K5" t="e">
        <f t="shared" si="3"/>
        <v>#DIV/0!</v>
      </c>
      <c r="M5">
        <f t="shared" si="4"/>
        <v>0</v>
      </c>
      <c r="N5">
        <v>270</v>
      </c>
      <c r="O5" s="1">
        <f t="shared" si="5"/>
        <v>-9</v>
      </c>
      <c r="P5" s="1"/>
      <c r="Q5" s="9"/>
      <c r="T5" t="e">
        <f t="shared" si="6"/>
        <v>#DIV/0!</v>
      </c>
      <c r="U5">
        <f t="shared" si="7"/>
        <v>0</v>
      </c>
      <c r="V5" s="1">
        <v>270</v>
      </c>
      <c r="W5" s="17">
        <f t="shared" si="8"/>
        <v>-9</v>
      </c>
      <c r="AA5" t="e">
        <f t="shared" si="9"/>
        <v>#DIV/0!</v>
      </c>
      <c r="AB5">
        <f t="shared" si="10"/>
        <v>0</v>
      </c>
      <c r="AC5" s="1">
        <v>270</v>
      </c>
      <c r="AD5" s="1">
        <f t="shared" si="11"/>
        <v>-9</v>
      </c>
    </row>
    <row r="6" spans="1:30" ht="18.75" customHeight="1" x14ac:dyDescent="0.25">
      <c r="A6" t="s">
        <v>6</v>
      </c>
      <c r="B6">
        <f>1170+44</f>
        <v>1214</v>
      </c>
      <c r="C6">
        <v>1995</v>
      </c>
      <c r="D6">
        <f t="shared" si="0"/>
        <v>60.9</v>
      </c>
      <c r="E6">
        <f t="shared" si="1"/>
        <v>485.6</v>
      </c>
      <c r="F6">
        <v>270</v>
      </c>
      <c r="G6" s="17">
        <f t="shared" si="2"/>
        <v>7</v>
      </c>
      <c r="K6" t="e">
        <f t="shared" si="3"/>
        <v>#DIV/0!</v>
      </c>
      <c r="M6">
        <f t="shared" si="4"/>
        <v>0</v>
      </c>
      <c r="N6">
        <v>270</v>
      </c>
      <c r="O6" s="1">
        <f t="shared" si="5"/>
        <v>-9</v>
      </c>
      <c r="P6" s="1"/>
      <c r="Q6" s="9"/>
      <c r="R6">
        <f>165+12+795+16</f>
        <v>988</v>
      </c>
      <c r="S6">
        <f>390+1125</f>
        <v>1515</v>
      </c>
      <c r="T6">
        <f t="shared" si="6"/>
        <v>65.2</v>
      </c>
      <c r="U6">
        <f t="shared" si="7"/>
        <v>395.20000000000005</v>
      </c>
      <c r="V6" s="1">
        <v>270</v>
      </c>
      <c r="W6" s="17">
        <f t="shared" si="8"/>
        <v>4</v>
      </c>
      <c r="AA6" t="e">
        <f t="shared" si="9"/>
        <v>#DIV/0!</v>
      </c>
      <c r="AB6">
        <f t="shared" si="10"/>
        <v>0</v>
      </c>
      <c r="AC6" s="1">
        <v>270</v>
      </c>
      <c r="AD6" s="1">
        <f t="shared" si="11"/>
        <v>-9</v>
      </c>
    </row>
    <row r="7" spans="1:30" ht="18.75" customHeight="1" x14ac:dyDescent="0.25">
      <c r="A7" t="s">
        <v>7</v>
      </c>
      <c r="B7">
        <f>1050+46</f>
        <v>1096</v>
      </c>
      <c r="C7">
        <v>1935</v>
      </c>
      <c r="D7" s="4">
        <f t="shared" si="0"/>
        <v>56.6</v>
      </c>
      <c r="E7">
        <f t="shared" si="1"/>
        <v>438.40000000000003</v>
      </c>
      <c r="F7">
        <v>270</v>
      </c>
      <c r="G7" s="17">
        <f t="shared" si="2"/>
        <v>6</v>
      </c>
      <c r="I7">
        <f>932</f>
        <v>932</v>
      </c>
      <c r="J7">
        <v>1455</v>
      </c>
      <c r="K7">
        <f t="shared" si="3"/>
        <v>64.099999999999994</v>
      </c>
      <c r="M7">
        <f t="shared" si="4"/>
        <v>372.8</v>
      </c>
      <c r="N7">
        <v>270</v>
      </c>
      <c r="O7" s="1">
        <f t="shared" si="5"/>
        <v>3</v>
      </c>
      <c r="P7" s="1"/>
      <c r="Q7" s="9"/>
      <c r="T7" s="6" t="e">
        <f t="shared" si="6"/>
        <v>#DIV/0!</v>
      </c>
      <c r="U7">
        <f t="shared" si="7"/>
        <v>0</v>
      </c>
      <c r="V7" s="1">
        <v>270</v>
      </c>
      <c r="W7" s="17">
        <f t="shared" si="8"/>
        <v>-9</v>
      </c>
      <c r="X7" s="6"/>
      <c r="Y7" s="6"/>
      <c r="Z7" s="6"/>
      <c r="AA7" s="6" t="e">
        <f t="shared" si="9"/>
        <v>#DIV/0!</v>
      </c>
      <c r="AB7">
        <f t="shared" si="10"/>
        <v>0</v>
      </c>
      <c r="AC7" s="1">
        <v>270</v>
      </c>
      <c r="AD7" s="1">
        <f t="shared" si="11"/>
        <v>-9</v>
      </c>
    </row>
    <row r="8" spans="1:30" ht="18.75" customHeight="1" x14ac:dyDescent="0.25">
      <c r="A8" t="s">
        <v>8</v>
      </c>
      <c r="B8">
        <f>1140+44</f>
        <v>1184</v>
      </c>
      <c r="C8">
        <v>1890</v>
      </c>
      <c r="D8">
        <f t="shared" si="0"/>
        <v>62.6</v>
      </c>
      <c r="E8">
        <f t="shared" si="1"/>
        <v>473.6</v>
      </c>
      <c r="F8">
        <v>270</v>
      </c>
      <c r="G8" s="17">
        <f t="shared" si="2"/>
        <v>7</v>
      </c>
      <c r="K8" t="e">
        <f t="shared" si="3"/>
        <v>#DIV/0!</v>
      </c>
      <c r="M8">
        <f t="shared" si="4"/>
        <v>0</v>
      </c>
      <c r="N8">
        <v>270</v>
      </c>
      <c r="O8" s="1">
        <f t="shared" si="5"/>
        <v>-9</v>
      </c>
      <c r="P8" s="1"/>
      <c r="Q8" s="9"/>
      <c r="R8">
        <f>165+12+675+22</f>
        <v>874</v>
      </c>
      <c r="S8">
        <f>390+1065</f>
        <v>1455</v>
      </c>
      <c r="T8">
        <f t="shared" ref="T8:T27" si="12">ROUND(R8*100/S8,1)</f>
        <v>60.1</v>
      </c>
      <c r="U8">
        <f t="shared" si="7"/>
        <v>349.6</v>
      </c>
      <c r="V8" s="1">
        <v>270</v>
      </c>
      <c r="W8" s="17">
        <f t="shared" si="8"/>
        <v>3</v>
      </c>
      <c r="AA8" t="e">
        <f t="shared" ref="AA8:AA27" si="13">ROUND(Y8*100/Z8,1)</f>
        <v>#DIV/0!</v>
      </c>
      <c r="AB8">
        <f t="shared" si="10"/>
        <v>0</v>
      </c>
      <c r="AC8" s="1">
        <v>270</v>
      </c>
      <c r="AD8" s="1">
        <f t="shared" si="11"/>
        <v>-9</v>
      </c>
    </row>
    <row r="9" spans="1:30" ht="18.75" customHeight="1" x14ac:dyDescent="0.25">
      <c r="A9" t="s">
        <v>9</v>
      </c>
      <c r="B9">
        <f>1140+44</f>
        <v>1184</v>
      </c>
      <c r="C9">
        <v>1980</v>
      </c>
      <c r="D9" s="4">
        <f t="shared" si="0"/>
        <v>59.8</v>
      </c>
      <c r="E9">
        <f t="shared" si="1"/>
        <v>473.6</v>
      </c>
      <c r="F9">
        <v>270</v>
      </c>
      <c r="G9" s="17">
        <f t="shared" si="2"/>
        <v>7</v>
      </c>
      <c r="I9">
        <f>990+30</f>
        <v>1020</v>
      </c>
      <c r="J9">
        <v>1500</v>
      </c>
      <c r="K9">
        <f t="shared" si="3"/>
        <v>68</v>
      </c>
      <c r="M9">
        <f t="shared" si="4"/>
        <v>408</v>
      </c>
      <c r="N9">
        <v>270</v>
      </c>
      <c r="O9" s="1">
        <f t="shared" si="5"/>
        <v>5</v>
      </c>
      <c r="P9" s="1"/>
      <c r="Q9" s="9"/>
      <c r="R9">
        <f>765+20+165+12</f>
        <v>962</v>
      </c>
      <c r="S9">
        <f>390+1110</f>
        <v>1500</v>
      </c>
      <c r="T9">
        <f t="shared" si="12"/>
        <v>64.099999999999994</v>
      </c>
      <c r="U9">
        <f t="shared" si="7"/>
        <v>384.8</v>
      </c>
      <c r="V9" s="1">
        <v>270</v>
      </c>
      <c r="W9" s="17">
        <f t="shared" si="8"/>
        <v>4</v>
      </c>
      <c r="AA9" t="e">
        <f t="shared" si="13"/>
        <v>#DIV/0!</v>
      </c>
      <c r="AB9">
        <f t="shared" si="10"/>
        <v>0</v>
      </c>
      <c r="AC9" s="1">
        <v>270</v>
      </c>
      <c r="AD9" s="1">
        <f t="shared" si="11"/>
        <v>-9</v>
      </c>
    </row>
    <row r="10" spans="1:30" ht="18.75" customHeight="1" x14ac:dyDescent="0.25">
      <c r="A10" t="s">
        <v>10</v>
      </c>
      <c r="B10">
        <f>1140+42</f>
        <v>1182</v>
      </c>
      <c r="C10">
        <v>1980</v>
      </c>
      <c r="D10" s="4">
        <f t="shared" si="0"/>
        <v>59.7</v>
      </c>
      <c r="E10">
        <f t="shared" si="1"/>
        <v>472.8</v>
      </c>
      <c r="F10">
        <v>270</v>
      </c>
      <c r="G10" s="17">
        <f t="shared" si="2"/>
        <v>7</v>
      </c>
      <c r="I10">
        <f>990+28</f>
        <v>1018</v>
      </c>
      <c r="J10">
        <v>1500</v>
      </c>
      <c r="K10">
        <f t="shared" si="3"/>
        <v>67.900000000000006</v>
      </c>
      <c r="M10">
        <f t="shared" si="4"/>
        <v>407.20000000000005</v>
      </c>
      <c r="N10">
        <v>270</v>
      </c>
      <c r="O10" s="1">
        <f t="shared" si="5"/>
        <v>5</v>
      </c>
      <c r="P10" s="1"/>
      <c r="Q10" s="9"/>
      <c r="R10">
        <f>705+16+165+12</f>
        <v>898</v>
      </c>
      <c r="S10">
        <f>390+1080</f>
        <v>1470</v>
      </c>
      <c r="T10">
        <f t="shared" si="12"/>
        <v>61.1</v>
      </c>
      <c r="U10">
        <f t="shared" si="7"/>
        <v>359.20000000000005</v>
      </c>
      <c r="V10" s="1">
        <v>270</v>
      </c>
      <c r="W10" s="17">
        <f t="shared" si="8"/>
        <v>3</v>
      </c>
      <c r="AA10" t="e">
        <f t="shared" si="13"/>
        <v>#DIV/0!</v>
      </c>
      <c r="AB10">
        <f t="shared" si="10"/>
        <v>0</v>
      </c>
      <c r="AC10" s="1">
        <v>270</v>
      </c>
      <c r="AD10" s="1">
        <f t="shared" si="11"/>
        <v>-9</v>
      </c>
    </row>
    <row r="11" spans="1:30" ht="18.75" customHeight="1" x14ac:dyDescent="0.25">
      <c r="A11" t="s">
        <v>28</v>
      </c>
      <c r="D11" s="6"/>
      <c r="E11">
        <f t="shared" si="1"/>
        <v>0</v>
      </c>
      <c r="F11">
        <v>270</v>
      </c>
      <c r="G11" s="17">
        <f t="shared" si="2"/>
        <v>-9</v>
      </c>
      <c r="M11">
        <f t="shared" si="4"/>
        <v>0</v>
      </c>
      <c r="N11">
        <v>270</v>
      </c>
      <c r="O11" s="1">
        <f t="shared" si="5"/>
        <v>-9</v>
      </c>
      <c r="P11" s="1"/>
      <c r="Q11" s="9"/>
      <c r="R11">
        <f>165+12+765+16</f>
        <v>958</v>
      </c>
      <c r="S11">
        <f>1110+390</f>
        <v>1500</v>
      </c>
      <c r="T11">
        <f t="shared" ref="T11" si="14">ROUND(R11*100/S11,1)</f>
        <v>63.9</v>
      </c>
      <c r="U11">
        <f t="shared" si="7"/>
        <v>383.20000000000005</v>
      </c>
      <c r="V11" s="1">
        <v>270</v>
      </c>
      <c r="W11" s="17">
        <f t="shared" si="8"/>
        <v>4</v>
      </c>
      <c r="AA11" t="e">
        <f t="shared" ref="AA11" si="15">ROUND(Y11*100/Z11,1)</f>
        <v>#DIV/0!</v>
      </c>
      <c r="AB11">
        <f t="shared" si="10"/>
        <v>0</v>
      </c>
      <c r="AC11" s="1">
        <v>270</v>
      </c>
      <c r="AD11" s="1">
        <f t="shared" si="11"/>
        <v>-9</v>
      </c>
    </row>
    <row r="12" spans="1:30" ht="18.75" customHeight="1" x14ac:dyDescent="0.25">
      <c r="A12" t="s">
        <v>11</v>
      </c>
      <c r="B12">
        <f>1240</f>
        <v>1240</v>
      </c>
      <c r="C12">
        <v>2010</v>
      </c>
      <c r="D12">
        <f t="shared" si="0"/>
        <v>61.7</v>
      </c>
      <c r="E12">
        <f t="shared" si="1"/>
        <v>496</v>
      </c>
      <c r="F12">
        <v>270</v>
      </c>
      <c r="G12" s="17">
        <f t="shared" si="2"/>
        <v>8</v>
      </c>
      <c r="K12" t="e">
        <f t="shared" si="3"/>
        <v>#DIV/0!</v>
      </c>
      <c r="M12">
        <f t="shared" si="4"/>
        <v>0</v>
      </c>
      <c r="N12">
        <v>270</v>
      </c>
      <c r="O12" s="1">
        <f t="shared" si="5"/>
        <v>-9</v>
      </c>
      <c r="P12" s="1"/>
      <c r="Q12" s="9"/>
      <c r="T12" t="e">
        <f t="shared" si="12"/>
        <v>#DIV/0!</v>
      </c>
      <c r="U12">
        <f t="shared" si="7"/>
        <v>0</v>
      </c>
      <c r="V12" s="1">
        <v>270</v>
      </c>
      <c r="W12" s="17">
        <f t="shared" si="8"/>
        <v>-9</v>
      </c>
      <c r="AA12" t="e">
        <f t="shared" si="13"/>
        <v>#DIV/0!</v>
      </c>
      <c r="AB12">
        <f t="shared" si="10"/>
        <v>0</v>
      </c>
      <c r="AC12" s="1">
        <v>270</v>
      </c>
      <c r="AD12" s="1">
        <f t="shared" si="11"/>
        <v>-9</v>
      </c>
    </row>
    <row r="13" spans="1:30" ht="18.75" customHeight="1" x14ac:dyDescent="0.25">
      <c r="A13" t="s">
        <v>12</v>
      </c>
      <c r="B13">
        <v>1240</v>
      </c>
      <c r="C13">
        <v>2010</v>
      </c>
      <c r="D13">
        <f t="shared" si="0"/>
        <v>61.7</v>
      </c>
      <c r="E13">
        <f t="shared" si="1"/>
        <v>496</v>
      </c>
      <c r="F13">
        <v>270</v>
      </c>
      <c r="G13" s="17">
        <f t="shared" si="2"/>
        <v>8</v>
      </c>
      <c r="K13" t="e">
        <f t="shared" si="3"/>
        <v>#DIV/0!</v>
      </c>
      <c r="M13">
        <f t="shared" si="4"/>
        <v>0</v>
      </c>
      <c r="N13">
        <v>270</v>
      </c>
      <c r="O13" s="1">
        <f t="shared" si="5"/>
        <v>-9</v>
      </c>
      <c r="P13" s="1"/>
      <c r="Q13" s="9"/>
      <c r="T13" s="6" t="e">
        <f t="shared" si="12"/>
        <v>#DIV/0!</v>
      </c>
      <c r="U13">
        <f t="shared" si="7"/>
        <v>0</v>
      </c>
      <c r="V13" s="1">
        <v>270</v>
      </c>
      <c r="W13" s="17">
        <f t="shared" si="8"/>
        <v>-9</v>
      </c>
      <c r="X13" s="6"/>
      <c r="Y13" s="6"/>
      <c r="Z13" s="6"/>
      <c r="AA13" s="6" t="e">
        <f t="shared" si="13"/>
        <v>#DIV/0!</v>
      </c>
      <c r="AB13">
        <f t="shared" si="10"/>
        <v>0</v>
      </c>
      <c r="AC13" s="1">
        <v>270</v>
      </c>
      <c r="AD13" s="1">
        <f t="shared" si="11"/>
        <v>-9</v>
      </c>
    </row>
    <row r="14" spans="1:30" ht="18.75" customHeight="1" x14ac:dyDescent="0.25">
      <c r="A14" t="s">
        <v>13</v>
      </c>
      <c r="B14">
        <f>1125+46</f>
        <v>1171</v>
      </c>
      <c r="C14">
        <v>1980</v>
      </c>
      <c r="D14" s="4">
        <f t="shared" si="0"/>
        <v>59.1</v>
      </c>
      <c r="E14">
        <f t="shared" si="1"/>
        <v>468.40000000000003</v>
      </c>
      <c r="F14">
        <v>270</v>
      </c>
      <c r="G14" s="17">
        <f t="shared" si="2"/>
        <v>7</v>
      </c>
      <c r="I14">
        <f>975+32</f>
        <v>1007</v>
      </c>
      <c r="J14">
        <v>1500</v>
      </c>
      <c r="K14">
        <f t="shared" si="3"/>
        <v>67.099999999999994</v>
      </c>
      <c r="M14">
        <f t="shared" si="4"/>
        <v>402.8</v>
      </c>
      <c r="N14">
        <v>270</v>
      </c>
      <c r="O14" s="1">
        <f t="shared" si="5"/>
        <v>4</v>
      </c>
      <c r="P14" s="1"/>
      <c r="Q14" s="9"/>
      <c r="T14" t="e">
        <f t="shared" si="12"/>
        <v>#DIV/0!</v>
      </c>
      <c r="U14">
        <f t="shared" si="7"/>
        <v>0</v>
      </c>
      <c r="V14" s="1">
        <v>270</v>
      </c>
      <c r="W14" s="17">
        <f t="shared" si="8"/>
        <v>-9</v>
      </c>
      <c r="AA14" t="e">
        <f t="shared" si="13"/>
        <v>#DIV/0!</v>
      </c>
      <c r="AB14">
        <f t="shared" si="10"/>
        <v>0</v>
      </c>
      <c r="AC14" s="1">
        <v>270</v>
      </c>
      <c r="AD14" s="1">
        <f t="shared" si="11"/>
        <v>-9</v>
      </c>
    </row>
    <row r="15" spans="1:30" ht="18.75" customHeight="1" x14ac:dyDescent="0.25">
      <c r="A15" t="s">
        <v>14</v>
      </c>
      <c r="B15">
        <f>1140+40</f>
        <v>1180</v>
      </c>
      <c r="C15">
        <v>1980</v>
      </c>
      <c r="D15" s="4">
        <f t="shared" si="0"/>
        <v>59.6</v>
      </c>
      <c r="E15">
        <f t="shared" si="1"/>
        <v>472</v>
      </c>
      <c r="F15">
        <v>270</v>
      </c>
      <c r="G15" s="17">
        <f t="shared" si="2"/>
        <v>7</v>
      </c>
      <c r="I15">
        <f>990+26</f>
        <v>1016</v>
      </c>
      <c r="J15">
        <v>1500</v>
      </c>
      <c r="K15">
        <f t="shared" si="3"/>
        <v>67.7</v>
      </c>
      <c r="M15">
        <f t="shared" si="4"/>
        <v>406.40000000000003</v>
      </c>
      <c r="N15">
        <v>270</v>
      </c>
      <c r="O15" s="1">
        <f t="shared" si="5"/>
        <v>5</v>
      </c>
      <c r="P15" s="1"/>
      <c r="Q15" s="9"/>
      <c r="R15">
        <f>675+16+165+12</f>
        <v>868</v>
      </c>
      <c r="S15">
        <f>390+1065</f>
        <v>1455</v>
      </c>
      <c r="T15" s="7">
        <f t="shared" si="12"/>
        <v>59.7</v>
      </c>
      <c r="U15">
        <f t="shared" si="7"/>
        <v>347.20000000000005</v>
      </c>
      <c r="V15" s="1">
        <v>270</v>
      </c>
      <c r="W15" s="17">
        <f t="shared" si="8"/>
        <v>3</v>
      </c>
      <c r="Y15">
        <f>675+16</f>
        <v>691</v>
      </c>
      <c r="Z15">
        <v>1065</v>
      </c>
      <c r="AA15">
        <f t="shared" si="13"/>
        <v>64.900000000000006</v>
      </c>
      <c r="AB15">
        <f t="shared" si="10"/>
        <v>276.40000000000003</v>
      </c>
      <c r="AC15" s="1">
        <v>270</v>
      </c>
      <c r="AD15" s="1">
        <f t="shared" si="11"/>
        <v>0</v>
      </c>
    </row>
    <row r="16" spans="1:30" ht="18.75" customHeight="1" x14ac:dyDescent="0.25">
      <c r="A16" t="s">
        <v>15</v>
      </c>
      <c r="B16">
        <f>1248</f>
        <v>1248</v>
      </c>
      <c r="C16">
        <v>2010</v>
      </c>
      <c r="D16">
        <f t="shared" si="0"/>
        <v>62.1</v>
      </c>
      <c r="E16">
        <f t="shared" si="1"/>
        <v>499.20000000000005</v>
      </c>
      <c r="F16">
        <v>270</v>
      </c>
      <c r="G16" s="17">
        <f t="shared" si="2"/>
        <v>8</v>
      </c>
      <c r="H16" s="1">
        <f>(C16*0.6)*0.4</f>
        <v>482.40000000000003</v>
      </c>
      <c r="K16" t="e">
        <f t="shared" si="3"/>
        <v>#DIV/0!</v>
      </c>
      <c r="M16">
        <f t="shared" si="4"/>
        <v>0</v>
      </c>
      <c r="N16">
        <v>270</v>
      </c>
      <c r="O16" s="1">
        <f t="shared" si="5"/>
        <v>-9</v>
      </c>
      <c r="P16" s="1"/>
      <c r="Q16" s="9"/>
      <c r="T16" t="e">
        <f t="shared" si="12"/>
        <v>#DIV/0!</v>
      </c>
      <c r="U16">
        <f t="shared" si="7"/>
        <v>0</v>
      </c>
      <c r="V16" s="1">
        <v>270</v>
      </c>
      <c r="W16" s="17">
        <f t="shared" si="8"/>
        <v>-9</v>
      </c>
      <c r="AA16" t="e">
        <f t="shared" si="13"/>
        <v>#DIV/0!</v>
      </c>
      <c r="AB16">
        <f t="shared" si="10"/>
        <v>0</v>
      </c>
      <c r="AC16" s="1">
        <v>270</v>
      </c>
      <c r="AD16" s="1">
        <f t="shared" si="11"/>
        <v>-9</v>
      </c>
    </row>
    <row r="17" spans="1:30" ht="18.75" customHeight="1" x14ac:dyDescent="0.25">
      <c r="A17" t="s">
        <v>16</v>
      </c>
      <c r="B17">
        <f>1170+52</f>
        <v>1222</v>
      </c>
      <c r="C17">
        <v>1995</v>
      </c>
      <c r="D17">
        <f t="shared" si="0"/>
        <v>61.3</v>
      </c>
      <c r="E17">
        <f t="shared" si="1"/>
        <v>488.8</v>
      </c>
      <c r="F17">
        <v>270</v>
      </c>
      <c r="G17" s="17">
        <f t="shared" si="2"/>
        <v>7</v>
      </c>
      <c r="K17" t="e">
        <f t="shared" si="3"/>
        <v>#DIV/0!</v>
      </c>
      <c r="M17">
        <f t="shared" si="4"/>
        <v>0</v>
      </c>
      <c r="N17">
        <v>270</v>
      </c>
      <c r="O17" s="1">
        <f t="shared" si="5"/>
        <v>-9</v>
      </c>
      <c r="P17" s="1"/>
      <c r="Q17" s="9"/>
      <c r="R17">
        <f>165+12+825+30</f>
        <v>1032</v>
      </c>
      <c r="S17">
        <f>1140+390</f>
        <v>1530</v>
      </c>
      <c r="T17">
        <f t="shared" si="12"/>
        <v>67.5</v>
      </c>
      <c r="U17">
        <f t="shared" si="7"/>
        <v>412.8</v>
      </c>
      <c r="V17" s="1">
        <v>270</v>
      </c>
      <c r="W17" s="17">
        <f t="shared" si="8"/>
        <v>5</v>
      </c>
      <c r="AA17" t="e">
        <f t="shared" si="13"/>
        <v>#DIV/0!</v>
      </c>
      <c r="AB17">
        <f t="shared" si="10"/>
        <v>0</v>
      </c>
      <c r="AC17" s="1">
        <v>270</v>
      </c>
      <c r="AD17" s="1">
        <f t="shared" si="11"/>
        <v>-9</v>
      </c>
    </row>
    <row r="18" spans="1:30" ht="18.75" customHeight="1" x14ac:dyDescent="0.25">
      <c r="A18" t="s">
        <v>17</v>
      </c>
      <c r="B18">
        <f>1170+52</f>
        <v>1222</v>
      </c>
      <c r="C18">
        <v>1995</v>
      </c>
      <c r="D18">
        <f t="shared" si="0"/>
        <v>61.3</v>
      </c>
      <c r="E18">
        <f t="shared" si="1"/>
        <v>488.8</v>
      </c>
      <c r="F18">
        <v>270</v>
      </c>
      <c r="G18" s="17">
        <f t="shared" si="2"/>
        <v>7</v>
      </c>
      <c r="K18" t="e">
        <f t="shared" si="3"/>
        <v>#DIV/0!</v>
      </c>
      <c r="M18">
        <f t="shared" si="4"/>
        <v>0</v>
      </c>
      <c r="N18">
        <v>270</v>
      </c>
      <c r="O18" s="1">
        <f t="shared" si="5"/>
        <v>-9</v>
      </c>
      <c r="P18" s="1"/>
      <c r="Q18" s="9"/>
      <c r="R18">
        <f>825+30+165+12</f>
        <v>1032</v>
      </c>
      <c r="S18">
        <f>390+1140</f>
        <v>1530</v>
      </c>
      <c r="T18" s="6">
        <f t="shared" si="12"/>
        <v>67.5</v>
      </c>
      <c r="U18">
        <f t="shared" si="7"/>
        <v>412.8</v>
      </c>
      <c r="V18" s="1">
        <v>270</v>
      </c>
      <c r="W18" s="17">
        <f t="shared" si="8"/>
        <v>5</v>
      </c>
      <c r="X18" s="6"/>
      <c r="Y18" s="6"/>
      <c r="Z18" s="6"/>
      <c r="AA18" s="6" t="e">
        <f t="shared" si="13"/>
        <v>#DIV/0!</v>
      </c>
      <c r="AB18">
        <f t="shared" si="10"/>
        <v>0</v>
      </c>
      <c r="AC18" s="1">
        <v>270</v>
      </c>
      <c r="AD18" s="1">
        <f t="shared" si="11"/>
        <v>-9</v>
      </c>
    </row>
    <row r="19" spans="1:30" ht="18.75" customHeight="1" x14ac:dyDescent="0.25">
      <c r="A19" t="s">
        <v>18</v>
      </c>
      <c r="B19">
        <f>1230+54</f>
        <v>1284</v>
      </c>
      <c r="C19">
        <v>2025</v>
      </c>
      <c r="D19">
        <f t="shared" si="0"/>
        <v>63.4</v>
      </c>
      <c r="E19">
        <f t="shared" si="1"/>
        <v>513.6</v>
      </c>
      <c r="F19">
        <v>270</v>
      </c>
      <c r="G19" s="17">
        <f t="shared" si="2"/>
        <v>8</v>
      </c>
      <c r="K19" t="e">
        <f t="shared" si="3"/>
        <v>#DIV/0!</v>
      </c>
      <c r="M19">
        <f t="shared" si="4"/>
        <v>0</v>
      </c>
      <c r="N19">
        <v>270</v>
      </c>
      <c r="O19" s="1">
        <f t="shared" si="5"/>
        <v>-9</v>
      </c>
      <c r="P19" s="1"/>
      <c r="Q19" s="9"/>
      <c r="R19">
        <f>165+12+825+30</f>
        <v>1032</v>
      </c>
      <c r="S19">
        <f>390+1140</f>
        <v>1530</v>
      </c>
      <c r="T19">
        <f t="shared" si="12"/>
        <v>67.5</v>
      </c>
      <c r="U19">
        <f t="shared" si="7"/>
        <v>412.8</v>
      </c>
      <c r="V19" s="1">
        <v>270</v>
      </c>
      <c r="W19" s="17">
        <f t="shared" si="8"/>
        <v>5</v>
      </c>
      <c r="AA19" t="e">
        <f t="shared" si="13"/>
        <v>#DIV/0!</v>
      </c>
      <c r="AB19">
        <f t="shared" si="10"/>
        <v>0</v>
      </c>
      <c r="AC19" s="1">
        <v>270</v>
      </c>
      <c r="AD19" s="1">
        <f t="shared" si="11"/>
        <v>-9</v>
      </c>
    </row>
    <row r="20" spans="1:30" ht="18.75" customHeight="1" x14ac:dyDescent="0.25">
      <c r="A20" t="s">
        <v>30</v>
      </c>
      <c r="E20">
        <f t="shared" si="1"/>
        <v>0</v>
      </c>
      <c r="F20">
        <v>270</v>
      </c>
      <c r="G20" s="17">
        <f t="shared" si="2"/>
        <v>-9</v>
      </c>
      <c r="M20">
        <f t="shared" si="4"/>
        <v>0</v>
      </c>
      <c r="N20">
        <v>270</v>
      </c>
      <c r="O20" s="1">
        <f t="shared" si="5"/>
        <v>-9</v>
      </c>
      <c r="P20" s="1"/>
      <c r="Q20" s="9"/>
      <c r="R20">
        <f>165+12+825+30</f>
        <v>1032</v>
      </c>
      <c r="S20">
        <f>390+1140</f>
        <v>1530</v>
      </c>
      <c r="T20">
        <f t="shared" ref="T20" si="16">ROUND(R20*100/S20,1)</f>
        <v>67.5</v>
      </c>
      <c r="U20">
        <f t="shared" si="7"/>
        <v>412.8</v>
      </c>
      <c r="V20" s="1">
        <v>270</v>
      </c>
      <c r="W20" s="17">
        <f t="shared" si="8"/>
        <v>5</v>
      </c>
      <c r="AA20" t="e">
        <f t="shared" ref="AA20" si="17">ROUND(Y20*100/Z20,1)</f>
        <v>#DIV/0!</v>
      </c>
      <c r="AB20">
        <f t="shared" si="10"/>
        <v>0</v>
      </c>
      <c r="AC20" s="1">
        <v>270</v>
      </c>
      <c r="AD20" s="1">
        <f t="shared" si="11"/>
        <v>-9</v>
      </c>
    </row>
    <row r="21" spans="1:30" ht="18.75" customHeight="1" x14ac:dyDescent="0.25">
      <c r="A21" t="s">
        <v>19</v>
      </c>
      <c r="B21">
        <v>1248</v>
      </c>
      <c r="C21">
        <v>2010</v>
      </c>
      <c r="D21">
        <f t="shared" si="0"/>
        <v>62.1</v>
      </c>
      <c r="E21">
        <f t="shared" si="1"/>
        <v>499.20000000000005</v>
      </c>
      <c r="F21">
        <v>270</v>
      </c>
      <c r="G21" s="17">
        <f t="shared" si="2"/>
        <v>8</v>
      </c>
      <c r="K21" t="e">
        <f t="shared" si="3"/>
        <v>#DIV/0!</v>
      </c>
      <c r="M21">
        <f t="shared" si="4"/>
        <v>0</v>
      </c>
      <c r="N21">
        <v>270</v>
      </c>
      <c r="O21" s="1">
        <f t="shared" si="5"/>
        <v>-9</v>
      </c>
      <c r="P21" s="1"/>
      <c r="Q21" s="9"/>
      <c r="R21">
        <f>165+12+795+22</f>
        <v>994</v>
      </c>
      <c r="S21">
        <f>1125+390</f>
        <v>1515</v>
      </c>
      <c r="T21">
        <f t="shared" si="12"/>
        <v>65.599999999999994</v>
      </c>
      <c r="U21">
        <f t="shared" si="7"/>
        <v>397.6</v>
      </c>
      <c r="V21" s="1">
        <v>270</v>
      </c>
      <c r="W21" s="17">
        <f t="shared" si="8"/>
        <v>4</v>
      </c>
      <c r="AA21" t="e">
        <f t="shared" si="13"/>
        <v>#DIV/0!</v>
      </c>
      <c r="AB21">
        <f t="shared" si="10"/>
        <v>0</v>
      </c>
      <c r="AC21" s="1">
        <v>270</v>
      </c>
      <c r="AD21" s="1">
        <f t="shared" si="11"/>
        <v>-9</v>
      </c>
    </row>
    <row r="22" spans="1:30" ht="18.75" customHeight="1" x14ac:dyDescent="0.25">
      <c r="A22" t="s">
        <v>20</v>
      </c>
      <c r="B22">
        <f>1230+48</f>
        <v>1278</v>
      </c>
      <c r="C22">
        <v>2025</v>
      </c>
      <c r="D22">
        <f t="shared" ref="D22:D28" si="18">ROUND(B22*100/C22,1)</f>
        <v>63.1</v>
      </c>
      <c r="E22">
        <f t="shared" si="1"/>
        <v>511.20000000000005</v>
      </c>
      <c r="F22">
        <v>270</v>
      </c>
      <c r="G22" s="17">
        <f t="shared" si="2"/>
        <v>8</v>
      </c>
      <c r="K22" t="e">
        <f t="shared" ref="K22:K28" si="19">ROUND(I22*100/J22,1)</f>
        <v>#DIV/0!</v>
      </c>
      <c r="M22">
        <f t="shared" si="4"/>
        <v>0</v>
      </c>
      <c r="N22">
        <v>270</v>
      </c>
      <c r="O22" s="1">
        <f t="shared" si="5"/>
        <v>-9</v>
      </c>
      <c r="P22" s="1"/>
      <c r="Q22" s="9"/>
      <c r="R22">
        <f>165+12+210+10+555+14+60+2</f>
        <v>1028</v>
      </c>
      <c r="S22">
        <f>390+315+735+90</f>
        <v>1530</v>
      </c>
      <c r="T22">
        <f t="shared" si="12"/>
        <v>67.2</v>
      </c>
      <c r="U22">
        <f t="shared" si="7"/>
        <v>411.20000000000005</v>
      </c>
      <c r="V22" s="1">
        <v>270</v>
      </c>
      <c r="W22" s="17">
        <f t="shared" si="8"/>
        <v>5</v>
      </c>
      <c r="AA22" t="e">
        <f t="shared" si="13"/>
        <v>#DIV/0!</v>
      </c>
      <c r="AB22">
        <f t="shared" si="10"/>
        <v>0</v>
      </c>
      <c r="AC22" s="1">
        <v>270</v>
      </c>
      <c r="AD22" s="1">
        <f t="shared" si="11"/>
        <v>-9</v>
      </c>
    </row>
    <row r="23" spans="1:30" ht="18.75" customHeight="1" x14ac:dyDescent="0.25">
      <c r="A23" t="s">
        <v>31</v>
      </c>
      <c r="E23">
        <f t="shared" si="1"/>
        <v>0</v>
      </c>
      <c r="F23">
        <v>270</v>
      </c>
      <c r="G23" s="17">
        <f t="shared" si="2"/>
        <v>-9</v>
      </c>
      <c r="M23">
        <f t="shared" si="4"/>
        <v>0</v>
      </c>
      <c r="N23">
        <v>270</v>
      </c>
      <c r="O23" s="1">
        <f t="shared" si="5"/>
        <v>-9</v>
      </c>
      <c r="P23" s="1"/>
      <c r="Q23" s="9"/>
      <c r="R23">
        <f>165+12+795+24</f>
        <v>996</v>
      </c>
      <c r="S23">
        <f>390+1125</f>
        <v>1515</v>
      </c>
      <c r="T23">
        <f t="shared" ref="T23" si="20">ROUND(R23*100/S23,1)</f>
        <v>65.7</v>
      </c>
      <c r="U23">
        <f t="shared" si="7"/>
        <v>398.40000000000003</v>
      </c>
      <c r="V23" s="1">
        <v>270</v>
      </c>
      <c r="W23" s="17">
        <f t="shared" si="8"/>
        <v>4</v>
      </c>
      <c r="AA23" t="e">
        <f t="shared" ref="AA23" si="21">ROUND(Y23*100/Z23,1)</f>
        <v>#DIV/0!</v>
      </c>
      <c r="AB23">
        <f t="shared" si="10"/>
        <v>0</v>
      </c>
      <c r="AC23" s="1">
        <v>270</v>
      </c>
      <c r="AD23" s="1">
        <f t="shared" si="11"/>
        <v>-9</v>
      </c>
    </row>
    <row r="24" spans="1:30" ht="18.75" customHeight="1" x14ac:dyDescent="0.25">
      <c r="A24" t="s">
        <v>21</v>
      </c>
      <c r="B24">
        <f>930+42</f>
        <v>972</v>
      </c>
      <c r="C24">
        <v>1860</v>
      </c>
      <c r="D24" s="2">
        <f t="shared" si="18"/>
        <v>52.3</v>
      </c>
      <c r="E24">
        <f t="shared" si="1"/>
        <v>388.8</v>
      </c>
      <c r="F24">
        <v>270</v>
      </c>
      <c r="G24" s="17">
        <f t="shared" si="2"/>
        <v>4</v>
      </c>
      <c r="I24" s="2">
        <f>780+28</f>
        <v>808</v>
      </c>
      <c r="J24" s="2">
        <v>1380</v>
      </c>
      <c r="K24" s="2">
        <f t="shared" si="19"/>
        <v>58.6</v>
      </c>
      <c r="M24">
        <f t="shared" si="4"/>
        <v>323.20000000000005</v>
      </c>
      <c r="N24">
        <v>270</v>
      </c>
      <c r="O24" s="1">
        <f t="shared" si="5"/>
        <v>2</v>
      </c>
      <c r="P24" s="1"/>
      <c r="Q24" s="9"/>
      <c r="R24">
        <f>165+12+630+22</f>
        <v>829</v>
      </c>
      <c r="S24">
        <f>390+1050</f>
        <v>1440</v>
      </c>
      <c r="T24" s="7">
        <f t="shared" si="12"/>
        <v>57.6</v>
      </c>
      <c r="U24">
        <f t="shared" si="7"/>
        <v>331.6</v>
      </c>
      <c r="V24" s="1">
        <v>270</v>
      </c>
      <c r="W24" s="17">
        <f t="shared" si="8"/>
        <v>2</v>
      </c>
      <c r="Y24">
        <f>630+22</f>
        <v>652</v>
      </c>
      <c r="Z24">
        <v>1050</v>
      </c>
      <c r="AA24">
        <f t="shared" si="13"/>
        <v>62.1</v>
      </c>
      <c r="AB24">
        <f t="shared" si="10"/>
        <v>260.8</v>
      </c>
      <c r="AC24" s="1">
        <v>270</v>
      </c>
      <c r="AD24" s="1">
        <f t="shared" si="11"/>
        <v>0</v>
      </c>
    </row>
    <row r="25" spans="1:30" ht="18.75" customHeight="1" x14ac:dyDescent="0.25">
      <c r="A25" t="s">
        <v>22</v>
      </c>
      <c r="B25">
        <f>960+48</f>
        <v>1008</v>
      </c>
      <c r="C25">
        <v>1875</v>
      </c>
      <c r="D25" s="4">
        <f t="shared" si="18"/>
        <v>53.8</v>
      </c>
      <c r="E25">
        <f t="shared" si="1"/>
        <v>403.20000000000005</v>
      </c>
      <c r="F25">
        <v>270</v>
      </c>
      <c r="G25" s="17">
        <f t="shared" si="2"/>
        <v>4</v>
      </c>
      <c r="I25">
        <f>810+34</f>
        <v>844</v>
      </c>
      <c r="J25">
        <v>1395</v>
      </c>
      <c r="K25">
        <f t="shared" si="19"/>
        <v>60.5</v>
      </c>
      <c r="M25">
        <f t="shared" si="4"/>
        <v>337.6</v>
      </c>
      <c r="N25">
        <v>270</v>
      </c>
      <c r="O25" s="1">
        <f t="shared" si="5"/>
        <v>2</v>
      </c>
      <c r="P25" s="1"/>
      <c r="Q25" s="9"/>
      <c r="R25">
        <f>720+20+165+12</f>
        <v>917</v>
      </c>
      <c r="S25">
        <f>390+1080</f>
        <v>1470</v>
      </c>
      <c r="T25" s="6">
        <f t="shared" si="12"/>
        <v>62.4</v>
      </c>
      <c r="U25">
        <f t="shared" si="7"/>
        <v>366.8</v>
      </c>
      <c r="V25" s="1">
        <v>270</v>
      </c>
      <c r="W25" s="17">
        <f t="shared" si="8"/>
        <v>3</v>
      </c>
      <c r="X25" s="6"/>
      <c r="Y25" s="6"/>
      <c r="Z25" s="6"/>
      <c r="AA25" s="6" t="e">
        <f t="shared" si="13"/>
        <v>#DIV/0!</v>
      </c>
      <c r="AB25">
        <f t="shared" si="10"/>
        <v>0</v>
      </c>
      <c r="AC25" s="1">
        <v>270</v>
      </c>
      <c r="AD25" s="1">
        <f t="shared" si="11"/>
        <v>-9</v>
      </c>
    </row>
    <row r="26" spans="1:30" ht="18.75" customHeight="1" x14ac:dyDescent="0.25">
      <c r="A26" t="s">
        <v>29</v>
      </c>
      <c r="D26" s="6"/>
      <c r="E26">
        <f t="shared" si="1"/>
        <v>0</v>
      </c>
      <c r="F26">
        <v>270</v>
      </c>
      <c r="G26" s="17">
        <f t="shared" si="2"/>
        <v>-9</v>
      </c>
      <c r="M26">
        <f t="shared" si="4"/>
        <v>0</v>
      </c>
      <c r="N26">
        <v>270</v>
      </c>
      <c r="O26" s="1">
        <f t="shared" si="5"/>
        <v>-9</v>
      </c>
      <c r="P26" s="1"/>
      <c r="Q26" s="9"/>
      <c r="R26">
        <f>645+24+165+12</f>
        <v>846</v>
      </c>
      <c r="S26">
        <f>390+1050</f>
        <v>1440</v>
      </c>
      <c r="T26" s="7">
        <f t="shared" ref="T26" si="22">ROUND(R26*100/S26,1)</f>
        <v>58.8</v>
      </c>
      <c r="U26">
        <f t="shared" si="7"/>
        <v>338.40000000000003</v>
      </c>
      <c r="V26" s="1">
        <v>270</v>
      </c>
      <c r="W26" s="17">
        <f t="shared" si="8"/>
        <v>2</v>
      </c>
      <c r="X26" s="6"/>
      <c r="Y26" s="6">
        <f>645+24</f>
        <v>669</v>
      </c>
      <c r="Z26" s="6">
        <v>1050</v>
      </c>
      <c r="AA26" s="6">
        <f t="shared" ref="AA26" si="23">ROUND(Y26*100/Z26,1)</f>
        <v>63.7</v>
      </c>
      <c r="AB26">
        <f t="shared" si="10"/>
        <v>267.60000000000002</v>
      </c>
      <c r="AC26" s="1">
        <v>270</v>
      </c>
      <c r="AD26" s="1">
        <f t="shared" si="11"/>
        <v>0</v>
      </c>
    </row>
    <row r="27" spans="1:30" ht="18.75" customHeight="1" x14ac:dyDescent="0.25">
      <c r="A27" t="s">
        <v>23</v>
      </c>
      <c r="B27">
        <f>990+48</f>
        <v>1038</v>
      </c>
      <c r="C27">
        <v>1905</v>
      </c>
      <c r="D27" s="4">
        <f t="shared" si="18"/>
        <v>54.5</v>
      </c>
      <c r="E27">
        <f t="shared" si="1"/>
        <v>415.20000000000005</v>
      </c>
      <c r="F27">
        <v>270</v>
      </c>
      <c r="G27" s="17">
        <f t="shared" si="2"/>
        <v>5</v>
      </c>
      <c r="I27">
        <f>840+36</f>
        <v>876</v>
      </c>
      <c r="J27">
        <v>1455</v>
      </c>
      <c r="K27">
        <f t="shared" si="19"/>
        <v>60.2</v>
      </c>
      <c r="M27">
        <f t="shared" si="4"/>
        <v>350.40000000000003</v>
      </c>
      <c r="N27">
        <v>270</v>
      </c>
      <c r="O27" s="1">
        <f t="shared" si="5"/>
        <v>3</v>
      </c>
      <c r="P27" s="1"/>
      <c r="Q27" s="9"/>
      <c r="R27">
        <f>165+12+615+22</f>
        <v>814</v>
      </c>
      <c r="S27">
        <f>1035+390</f>
        <v>1425</v>
      </c>
      <c r="T27" s="7">
        <f t="shared" si="12"/>
        <v>57.1</v>
      </c>
      <c r="U27">
        <f t="shared" si="7"/>
        <v>325.60000000000002</v>
      </c>
      <c r="V27" s="1">
        <v>270</v>
      </c>
      <c r="W27" s="17">
        <f t="shared" si="8"/>
        <v>2</v>
      </c>
      <c r="Y27">
        <f>615+22</f>
        <v>637</v>
      </c>
      <c r="Z27">
        <v>1035</v>
      </c>
      <c r="AA27">
        <f t="shared" si="13"/>
        <v>61.5</v>
      </c>
      <c r="AB27">
        <f t="shared" si="10"/>
        <v>254.8</v>
      </c>
      <c r="AC27" s="1">
        <v>270</v>
      </c>
      <c r="AD27" s="1">
        <f t="shared" si="11"/>
        <v>-1</v>
      </c>
    </row>
    <row r="28" spans="1:30" ht="18.75" customHeight="1" x14ac:dyDescent="0.25">
      <c r="A28" t="s">
        <v>24</v>
      </c>
      <c r="B28">
        <v>1250</v>
      </c>
      <c r="C28">
        <v>2010</v>
      </c>
      <c r="D28">
        <f t="shared" si="18"/>
        <v>62.2</v>
      </c>
      <c r="E28">
        <f t="shared" si="1"/>
        <v>500</v>
      </c>
      <c r="F28">
        <v>270</v>
      </c>
      <c r="G28" s="17">
        <f t="shared" si="2"/>
        <v>8</v>
      </c>
      <c r="K28" t="e">
        <f t="shared" si="19"/>
        <v>#DIV/0!</v>
      </c>
      <c r="M28">
        <f t="shared" si="4"/>
        <v>0</v>
      </c>
      <c r="N28">
        <v>270</v>
      </c>
      <c r="O28" s="1">
        <f t="shared" si="5"/>
        <v>-9</v>
      </c>
      <c r="P28" s="1"/>
      <c r="Q28" s="9"/>
      <c r="R28">
        <f>165+12+825+20</f>
        <v>1022</v>
      </c>
      <c r="S28">
        <f>1140+390</f>
        <v>1530</v>
      </c>
      <c r="T28">
        <f t="shared" ref="T28" si="24">ROUND(R28*100/S28,1)</f>
        <v>66.8</v>
      </c>
      <c r="U28">
        <f t="shared" si="7"/>
        <v>408.8</v>
      </c>
      <c r="V28" s="1">
        <v>270</v>
      </c>
      <c r="W28" s="17">
        <f t="shared" si="8"/>
        <v>5</v>
      </c>
      <c r="Y28">
        <f>825+20</f>
        <v>845</v>
      </c>
      <c r="Z28">
        <v>1140</v>
      </c>
      <c r="AA28">
        <f t="shared" ref="AA28" si="25">ROUND(Y28*100/Z28,1)</f>
        <v>74.099999999999994</v>
      </c>
      <c r="AB28">
        <f t="shared" si="10"/>
        <v>338</v>
      </c>
      <c r="AC28" s="1">
        <v>270</v>
      </c>
      <c r="AD28" s="1">
        <f t="shared" si="11"/>
        <v>2</v>
      </c>
    </row>
    <row r="29" spans="1:30" ht="18.75" customHeight="1" x14ac:dyDescent="0.25">
      <c r="A29" s="5" t="s">
        <v>27</v>
      </c>
      <c r="D29" t="s">
        <v>25</v>
      </c>
      <c r="E29">
        <f t="shared" si="1"/>
        <v>0</v>
      </c>
      <c r="G29" s="1">
        <f t="shared" ref="G29" si="26">ROUND(E29/30,0)</f>
        <v>0</v>
      </c>
      <c r="K29" t="s">
        <v>26</v>
      </c>
      <c r="M29">
        <f t="shared" si="4"/>
        <v>0</v>
      </c>
      <c r="O29" s="1">
        <f t="shared" si="5"/>
        <v>0</v>
      </c>
      <c r="P29" s="1"/>
      <c r="Q29" s="9"/>
      <c r="U29">
        <f t="shared" si="7"/>
        <v>0</v>
      </c>
      <c r="V29" s="1">
        <v>270</v>
      </c>
      <c r="W29" s="17">
        <f t="shared" si="8"/>
        <v>-9</v>
      </c>
      <c r="AB29">
        <f t="shared" si="10"/>
        <v>0</v>
      </c>
      <c r="AC29" s="1">
        <v>270</v>
      </c>
      <c r="AD29" s="1">
        <f t="shared" si="11"/>
        <v>-9</v>
      </c>
    </row>
    <row r="30" spans="1:30" ht="18.75" customHeight="1" x14ac:dyDescent="0.25">
      <c r="Q30" s="9"/>
      <c r="U30">
        <f t="shared" si="7"/>
        <v>0</v>
      </c>
      <c r="V30" s="1">
        <v>270</v>
      </c>
      <c r="W30" s="17">
        <f t="shared" si="8"/>
        <v>-9</v>
      </c>
      <c r="AB30">
        <f t="shared" si="10"/>
        <v>0</v>
      </c>
      <c r="AC30" s="1">
        <v>270</v>
      </c>
      <c r="AD30" s="1">
        <f t="shared" si="11"/>
        <v>-9</v>
      </c>
    </row>
    <row r="31" spans="1:30" ht="18.75" customHeight="1" x14ac:dyDescent="0.25">
      <c r="D31" s="5" t="s">
        <v>43</v>
      </c>
      <c r="Q31" s="10" t="s">
        <v>36</v>
      </c>
      <c r="R31">
        <f>795+26</f>
        <v>821</v>
      </c>
      <c r="S31">
        <v>1275</v>
      </c>
      <c r="T31" s="6">
        <f t="shared" ref="T31:T32" si="27">ROUND(R31*100/S31,1)</f>
        <v>64.400000000000006</v>
      </c>
      <c r="U31">
        <f t="shared" si="7"/>
        <v>328.40000000000003</v>
      </c>
      <c r="V31" s="1">
        <v>270</v>
      </c>
      <c r="W31" s="17">
        <f t="shared" si="8"/>
        <v>2</v>
      </c>
      <c r="X31" s="6"/>
      <c r="Y31" s="6"/>
      <c r="Z31" s="6"/>
      <c r="AA31" s="6" t="e">
        <f t="shared" ref="AA31:AA32" si="28">ROUND(Y31*100/Z31,1)</f>
        <v>#DIV/0!</v>
      </c>
      <c r="AB31">
        <f t="shared" si="10"/>
        <v>0</v>
      </c>
      <c r="AC31" s="1">
        <v>270</v>
      </c>
      <c r="AD31" s="1">
        <f t="shared" si="11"/>
        <v>-9</v>
      </c>
    </row>
    <row r="32" spans="1:30" ht="18.75" customHeight="1" x14ac:dyDescent="0.25">
      <c r="E32" t="s">
        <v>34</v>
      </c>
      <c r="I32" t="s">
        <v>35</v>
      </c>
      <c r="J32" t="s">
        <v>41</v>
      </c>
      <c r="K32" s="8" t="s">
        <v>32</v>
      </c>
      <c r="Q32" s="10" t="s">
        <v>37</v>
      </c>
      <c r="R32">
        <f>855+28</f>
        <v>883</v>
      </c>
      <c r="S32">
        <v>1305</v>
      </c>
      <c r="T32">
        <f t="shared" si="27"/>
        <v>67.7</v>
      </c>
      <c r="U32">
        <f t="shared" si="7"/>
        <v>353.20000000000005</v>
      </c>
      <c r="V32" s="1">
        <v>270</v>
      </c>
      <c r="W32" s="17">
        <f t="shared" si="8"/>
        <v>3</v>
      </c>
      <c r="AA32" t="e">
        <f t="shared" si="28"/>
        <v>#DIV/0!</v>
      </c>
      <c r="AB32">
        <f t="shared" si="10"/>
        <v>0</v>
      </c>
      <c r="AC32" s="1">
        <v>270</v>
      </c>
      <c r="AD32" s="1">
        <f t="shared" si="11"/>
        <v>-9</v>
      </c>
    </row>
    <row r="33" spans="4:30" ht="18.75" customHeight="1" x14ac:dyDescent="0.25">
      <c r="D33" t="s">
        <v>33</v>
      </c>
      <c r="E33">
        <v>23</v>
      </c>
      <c r="I33">
        <v>21</v>
      </c>
      <c r="J33">
        <v>3</v>
      </c>
      <c r="K33">
        <f>E33+I33+J33</f>
        <v>47</v>
      </c>
      <c r="Q33" s="10" t="s">
        <v>38</v>
      </c>
      <c r="R33">
        <f>165+12+795+16</f>
        <v>988</v>
      </c>
      <c r="S33">
        <f>390+1125</f>
        <v>1515</v>
      </c>
      <c r="T33" s="6">
        <f t="shared" ref="T33" si="29">ROUND(R33*100/S33,1)</f>
        <v>65.2</v>
      </c>
      <c r="U33">
        <f t="shared" si="7"/>
        <v>395.20000000000005</v>
      </c>
      <c r="V33" s="1">
        <v>270</v>
      </c>
      <c r="W33" s="17">
        <f t="shared" si="8"/>
        <v>4</v>
      </c>
      <c r="X33" s="6"/>
      <c r="Y33" s="6"/>
      <c r="Z33" s="6"/>
      <c r="AA33" s="6" t="e">
        <f t="shared" ref="AA33" si="30">ROUND(Y33*100/Z33,1)</f>
        <v>#DIV/0!</v>
      </c>
      <c r="AB33">
        <f t="shared" si="10"/>
        <v>0</v>
      </c>
      <c r="AC33" s="1">
        <v>270</v>
      </c>
      <c r="AD33" s="1">
        <f t="shared" si="11"/>
        <v>-9</v>
      </c>
    </row>
    <row r="34" spans="4:30" ht="18.75" customHeight="1" x14ac:dyDescent="0.25">
      <c r="D34" t="s">
        <v>42</v>
      </c>
      <c r="K34" s="8" t="s">
        <v>47</v>
      </c>
      <c r="Q34" s="9"/>
      <c r="R34" s="5" t="s">
        <v>32</v>
      </c>
      <c r="T34" s="5" t="s">
        <v>39</v>
      </c>
      <c r="AA34" s="5" t="s">
        <v>40</v>
      </c>
    </row>
    <row r="35" spans="4:30" ht="18.75" customHeight="1" x14ac:dyDescent="0.25">
      <c r="K35" s="11" t="s">
        <v>48</v>
      </c>
      <c r="Q35" s="9"/>
    </row>
    <row r="36" spans="4:30" ht="18.75" customHeight="1" x14ac:dyDescent="0.25">
      <c r="D36" t="s">
        <v>44</v>
      </c>
      <c r="K36" s="8" t="s">
        <v>45</v>
      </c>
      <c r="Q36" s="9"/>
    </row>
    <row r="37" spans="4:30" ht="18.75" customHeight="1" x14ac:dyDescent="0.25">
      <c r="K37" s="5" t="s">
        <v>46</v>
      </c>
    </row>
    <row r="38" spans="4:30" ht="18.75" customHeight="1" x14ac:dyDescent="0.25"/>
    <row r="39" spans="4:30" ht="18.75" customHeight="1" x14ac:dyDescent="0.25"/>
    <row r="40" spans="4:30" ht="18.75" customHeight="1" x14ac:dyDescent="0.25"/>
    <row r="41" spans="4:30" ht="18.75" customHeight="1" x14ac:dyDescent="0.25"/>
    <row r="42" spans="4:30" ht="18.75" customHeight="1" x14ac:dyDescent="0.25"/>
    <row r="43" spans="4:30" ht="18.75" customHeight="1" x14ac:dyDescent="0.25"/>
    <row r="44" spans="4:30" ht="18.75" customHeight="1" x14ac:dyDescent="0.25"/>
    <row r="45" spans="4:30" ht="18.75" customHeight="1" x14ac:dyDescent="0.25"/>
    <row r="46" spans="4:30" ht="18.75" customHeight="1" x14ac:dyDescent="0.25"/>
    <row r="47" spans="4:30" ht="18.75" customHeight="1" x14ac:dyDescent="0.25"/>
    <row r="48" spans="4:30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  <row r="110" ht="18.75" customHeight="1" x14ac:dyDescent="0.25"/>
    <row r="111" ht="18.75" customHeight="1" x14ac:dyDescent="0.25"/>
    <row r="112" ht="18.75" customHeight="1" x14ac:dyDescent="0.25"/>
    <row r="113" ht="18.75" customHeight="1" x14ac:dyDescent="0.25"/>
    <row r="114" ht="18.75" customHeight="1" x14ac:dyDescent="0.25"/>
    <row r="115" ht="18.75" customHeight="1" x14ac:dyDescent="0.25"/>
    <row r="116" ht="18.75" customHeight="1" x14ac:dyDescent="0.25"/>
    <row r="117" ht="18.75" customHeight="1" x14ac:dyDescent="0.25"/>
    <row r="118" ht="18.75" customHeight="1" x14ac:dyDescent="0.25"/>
    <row r="119" ht="18.75" customHeight="1" x14ac:dyDescent="0.25"/>
    <row r="120" ht="18.75" customHeight="1" x14ac:dyDescent="0.25"/>
    <row r="121" ht="18.75" customHeight="1" x14ac:dyDescent="0.25"/>
    <row r="122" ht="18.75" customHeight="1" x14ac:dyDescent="0.25"/>
    <row r="123" ht="18.75" customHeight="1" x14ac:dyDescent="0.25"/>
    <row r="124" ht="18.75" customHeight="1" x14ac:dyDescent="0.25"/>
    <row r="125" ht="18.75" customHeight="1" x14ac:dyDescent="0.25"/>
    <row r="126" ht="18.75" customHeight="1" x14ac:dyDescent="0.25"/>
    <row r="127" ht="18.75" customHeight="1" x14ac:dyDescent="0.25"/>
    <row r="128" ht="18.75" customHeight="1" x14ac:dyDescent="0.25"/>
  </sheetData>
  <mergeCells count="4">
    <mergeCell ref="I1:K1"/>
    <mergeCell ref="B1:D1"/>
    <mergeCell ref="R1:T1"/>
    <mergeCell ref="Y1:AA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9"/>
  <sheetViews>
    <sheetView tabSelected="1" topLeftCell="I1" zoomScale="115" zoomScaleNormal="115" workbookViewId="0">
      <pane xSplit="8190" ySplit="870" topLeftCell="P29" activePane="bottomLeft"/>
      <selection activeCell="F1" sqref="F1"/>
      <selection pane="bottomLeft" activeCell="K39" sqref="K39"/>
      <selection pane="topRight" activeCell="Y2" sqref="Y2"/>
      <selection pane="bottomRight" activeCell="K28" sqref="K28"/>
    </sheetView>
  </sheetViews>
  <sheetFormatPr defaultRowHeight="15" x14ac:dyDescent="0.25"/>
  <cols>
    <col min="1" max="1" width="15.140625" customWidth="1"/>
    <col min="2" max="3" width="10.7109375" customWidth="1"/>
    <col min="4" max="4" width="14.140625" customWidth="1"/>
    <col min="5" max="6" width="5.28515625" customWidth="1"/>
    <col min="7" max="7" width="7.7109375" style="1" customWidth="1"/>
    <col min="8" max="8" width="12" style="1" customWidth="1"/>
    <col min="9" max="10" width="10.7109375" customWidth="1"/>
    <col min="11" max="11" width="17.140625" customWidth="1"/>
    <col min="12" max="14" width="5.28515625" customWidth="1"/>
    <col min="15" max="15" width="9.7109375" customWidth="1"/>
    <col min="16" max="16" width="3" customWidth="1"/>
    <col min="17" max="17" width="6.5703125" customWidth="1"/>
    <col min="18" max="18" width="7.28515625" customWidth="1"/>
    <col min="19" max="20" width="9.28515625" customWidth="1"/>
    <col min="21" max="21" width="10.7109375" customWidth="1"/>
    <col min="22" max="22" width="10.7109375" style="1" customWidth="1"/>
    <col min="23" max="23" width="10.7109375" customWidth="1"/>
    <col min="24" max="24" width="3.5703125" customWidth="1"/>
    <col min="25" max="25" width="6.28515625" customWidth="1"/>
    <col min="26" max="27" width="8.42578125" customWidth="1"/>
    <col min="28" max="28" width="9.140625" customWidth="1"/>
    <col min="29" max="29" width="9.140625" style="1" customWidth="1"/>
    <col min="30" max="30" width="9.140625" customWidth="1"/>
  </cols>
  <sheetData>
    <row r="1" spans="1:30" x14ac:dyDescent="0.25">
      <c r="B1" s="19" t="s">
        <v>3</v>
      </c>
      <c r="C1" s="19"/>
      <c r="D1" s="19"/>
      <c r="E1" s="12">
        <v>0.4</v>
      </c>
      <c r="F1" s="12" t="s">
        <v>50</v>
      </c>
      <c r="G1" s="16" t="s">
        <v>49</v>
      </c>
      <c r="H1" s="15"/>
      <c r="I1" s="19" t="s">
        <v>2</v>
      </c>
      <c r="J1" s="19"/>
      <c r="K1" s="19"/>
      <c r="M1" s="12">
        <v>0.4</v>
      </c>
      <c r="N1" s="12" t="s">
        <v>50</v>
      </c>
      <c r="O1" s="15" t="s">
        <v>49</v>
      </c>
      <c r="P1" s="15"/>
      <c r="Q1" s="9"/>
      <c r="R1" s="19" t="s">
        <v>3</v>
      </c>
      <c r="S1" s="19"/>
      <c r="T1" s="19"/>
      <c r="U1" s="12">
        <v>0.4</v>
      </c>
      <c r="V1" s="14" t="s">
        <v>50</v>
      </c>
      <c r="W1" s="16" t="s">
        <v>49</v>
      </c>
      <c r="Y1" s="19" t="s">
        <v>54</v>
      </c>
      <c r="Z1" s="19"/>
      <c r="AA1" s="19"/>
      <c r="AB1" s="12">
        <v>0.4</v>
      </c>
      <c r="AC1" s="14" t="s">
        <v>50</v>
      </c>
      <c r="AD1" s="15" t="s">
        <v>49</v>
      </c>
    </row>
    <row r="2" spans="1:30" ht="18.75" customHeight="1" x14ac:dyDescent="0.25">
      <c r="A2" t="s">
        <v>1</v>
      </c>
      <c r="B2">
        <f>1170+44</f>
        <v>1214</v>
      </c>
      <c r="C2">
        <v>1995</v>
      </c>
      <c r="D2">
        <f t="shared" ref="D2:D29" si="0">ROUND(B2*100/C2,1)</f>
        <v>60.9</v>
      </c>
      <c r="E2">
        <f t="shared" ref="E2:E30" si="1">B2*0.4</f>
        <v>485.6</v>
      </c>
      <c r="F2">
        <v>270</v>
      </c>
      <c r="G2" s="17">
        <f t="shared" ref="G2:G29" si="2">ROUND((E2-F2)/30,0)</f>
        <v>7</v>
      </c>
      <c r="I2" s="6">
        <v>1052</v>
      </c>
      <c r="J2" s="6">
        <v>1545</v>
      </c>
      <c r="K2" s="6">
        <f t="shared" ref="K2:K29" si="3">ROUND(I2*100/J2,1)</f>
        <v>68.099999999999994</v>
      </c>
      <c r="M2">
        <f t="shared" ref="M2:M30" si="4">I2*0.4</f>
        <v>420.8</v>
      </c>
      <c r="N2">
        <v>270</v>
      </c>
      <c r="O2" s="1">
        <f t="shared" ref="O2:O30" si="5">ROUND((M2-N2)/30,0)</f>
        <v>5</v>
      </c>
      <c r="P2" s="1"/>
      <c r="Q2" s="9"/>
      <c r="T2" t="e">
        <f>ROUND(R3*100/S2,1)</f>
        <v>#DIV/0!</v>
      </c>
      <c r="U2">
        <f>R2*0.4</f>
        <v>0</v>
      </c>
      <c r="V2" s="1">
        <v>270</v>
      </c>
      <c r="W2" s="17">
        <f t="shared" ref="W2:W34" si="6">ROUND((U2-V2)/30,0)</f>
        <v>-9</v>
      </c>
      <c r="AA2" t="e">
        <f t="shared" ref="AA2:AA29" si="7">ROUND(Y2*100/Z2,1)</f>
        <v>#DIV/0!</v>
      </c>
      <c r="AB2">
        <f t="shared" ref="AB2:AB34" si="8">Y2*0.4</f>
        <v>0</v>
      </c>
      <c r="AC2" s="1">
        <v>270</v>
      </c>
      <c r="AD2" s="1">
        <f t="shared" ref="AD2:AD34" si="9">ROUND((AB2-AC2)/30,0)</f>
        <v>-9</v>
      </c>
    </row>
    <row r="3" spans="1:30" ht="18.75" customHeight="1" x14ac:dyDescent="0.25">
      <c r="A3" t="s">
        <v>4</v>
      </c>
      <c r="B3">
        <f>1170+44</f>
        <v>1214</v>
      </c>
      <c r="C3">
        <v>1995</v>
      </c>
      <c r="D3">
        <f t="shared" si="0"/>
        <v>60.9</v>
      </c>
      <c r="E3">
        <f t="shared" si="1"/>
        <v>485.6</v>
      </c>
      <c r="F3">
        <v>270</v>
      </c>
      <c r="G3" s="17">
        <f t="shared" si="2"/>
        <v>7</v>
      </c>
      <c r="I3" s="6">
        <f>1020+32</f>
        <v>1052</v>
      </c>
      <c r="J3" s="6">
        <v>1545</v>
      </c>
      <c r="K3" s="6">
        <f t="shared" si="3"/>
        <v>68.099999999999994</v>
      </c>
      <c r="M3">
        <f t="shared" si="4"/>
        <v>420.8</v>
      </c>
      <c r="N3">
        <v>270</v>
      </c>
      <c r="O3" s="1">
        <f t="shared" si="5"/>
        <v>5</v>
      </c>
      <c r="P3" s="1"/>
      <c r="Q3" s="9"/>
      <c r="R3">
        <f>165+12+735+18</f>
        <v>930</v>
      </c>
      <c r="S3">
        <f>390+1095</f>
        <v>1485</v>
      </c>
      <c r="T3">
        <f>ROUND(R3*100/S3,1)</f>
        <v>62.6</v>
      </c>
      <c r="U3">
        <f>R3*0.4</f>
        <v>372</v>
      </c>
      <c r="V3" s="1">
        <v>270</v>
      </c>
      <c r="W3" s="17">
        <f t="shared" si="6"/>
        <v>3</v>
      </c>
      <c r="Y3">
        <f>735+18</f>
        <v>753</v>
      </c>
      <c r="Z3">
        <v>1095</v>
      </c>
      <c r="AA3">
        <f t="shared" si="7"/>
        <v>68.8</v>
      </c>
      <c r="AB3">
        <f t="shared" si="8"/>
        <v>301.2</v>
      </c>
      <c r="AC3" s="1">
        <v>270</v>
      </c>
      <c r="AD3" s="1">
        <f t="shared" si="9"/>
        <v>1</v>
      </c>
    </row>
    <row r="4" spans="1:30" ht="18.75" customHeight="1" x14ac:dyDescent="0.25">
      <c r="A4" t="s">
        <v>5</v>
      </c>
      <c r="B4">
        <f>1170+44</f>
        <v>1214</v>
      </c>
      <c r="C4">
        <v>1995</v>
      </c>
      <c r="D4">
        <f t="shared" si="0"/>
        <v>60.9</v>
      </c>
      <c r="E4">
        <f t="shared" si="1"/>
        <v>485.6</v>
      </c>
      <c r="F4">
        <v>270</v>
      </c>
      <c r="G4" s="17">
        <f t="shared" si="2"/>
        <v>7</v>
      </c>
      <c r="I4" s="6">
        <f>1020+32</f>
        <v>1052</v>
      </c>
      <c r="J4" s="6">
        <v>1545</v>
      </c>
      <c r="K4" s="6">
        <f t="shared" si="3"/>
        <v>68.099999999999994</v>
      </c>
      <c r="M4">
        <f t="shared" si="4"/>
        <v>420.8</v>
      </c>
      <c r="N4">
        <v>270</v>
      </c>
      <c r="O4" s="1">
        <f t="shared" si="5"/>
        <v>5</v>
      </c>
      <c r="P4" s="1"/>
      <c r="Q4" s="9"/>
      <c r="T4" t="e">
        <f t="shared" ref="T2:T29" si="10">ROUND(R4*100/S4,1)</f>
        <v>#DIV/0!</v>
      </c>
      <c r="U4">
        <f t="shared" ref="U2:U32" si="11">R4*0.4</f>
        <v>0</v>
      </c>
      <c r="V4" s="1">
        <v>270</v>
      </c>
      <c r="W4" s="17">
        <f t="shared" si="6"/>
        <v>-9</v>
      </c>
      <c r="AA4" t="e">
        <f t="shared" si="7"/>
        <v>#DIV/0!</v>
      </c>
      <c r="AB4">
        <f t="shared" si="8"/>
        <v>0</v>
      </c>
      <c r="AC4" s="1">
        <v>270</v>
      </c>
      <c r="AD4" s="1">
        <f t="shared" si="9"/>
        <v>-9</v>
      </c>
    </row>
    <row r="5" spans="1:30" ht="18.75" customHeight="1" x14ac:dyDescent="0.25">
      <c r="A5" t="s">
        <v>6</v>
      </c>
      <c r="B5">
        <f>1170+44</f>
        <v>1214</v>
      </c>
      <c r="C5">
        <v>1995</v>
      </c>
      <c r="D5">
        <f t="shared" si="0"/>
        <v>60.9</v>
      </c>
      <c r="E5">
        <f t="shared" si="1"/>
        <v>485.6</v>
      </c>
      <c r="F5">
        <v>270</v>
      </c>
      <c r="G5" s="17">
        <f t="shared" si="2"/>
        <v>7</v>
      </c>
      <c r="I5" s="6">
        <f>1020+32</f>
        <v>1052</v>
      </c>
      <c r="J5" s="6">
        <v>1545</v>
      </c>
      <c r="K5" s="6">
        <f t="shared" si="3"/>
        <v>68.099999999999994</v>
      </c>
      <c r="M5">
        <f t="shared" si="4"/>
        <v>420.8</v>
      </c>
      <c r="N5">
        <v>270</v>
      </c>
      <c r="O5" s="1">
        <f t="shared" si="5"/>
        <v>5</v>
      </c>
      <c r="P5" s="1"/>
      <c r="Q5" s="9"/>
      <c r="R5">
        <f>165+12+795+16</f>
        <v>988</v>
      </c>
      <c r="S5">
        <f>390+1125</f>
        <v>1515</v>
      </c>
      <c r="T5">
        <f t="shared" si="10"/>
        <v>65.2</v>
      </c>
      <c r="U5">
        <f t="shared" si="11"/>
        <v>395.20000000000005</v>
      </c>
      <c r="V5" s="1">
        <v>270</v>
      </c>
      <c r="W5" s="17">
        <f t="shared" si="6"/>
        <v>4</v>
      </c>
      <c r="Y5">
        <f>795+16</f>
        <v>811</v>
      </c>
      <c r="Z5">
        <v>1125</v>
      </c>
      <c r="AA5">
        <f t="shared" si="7"/>
        <v>72.099999999999994</v>
      </c>
      <c r="AB5">
        <f t="shared" si="8"/>
        <v>324.40000000000003</v>
      </c>
      <c r="AC5" s="1">
        <v>270</v>
      </c>
      <c r="AD5" s="1">
        <f t="shared" si="9"/>
        <v>2</v>
      </c>
    </row>
    <row r="6" spans="1:30" ht="18.75" customHeight="1" x14ac:dyDescent="0.25">
      <c r="A6" t="s">
        <v>51</v>
      </c>
      <c r="B6">
        <f>1230+42</f>
        <v>1272</v>
      </c>
      <c r="C6">
        <v>2025</v>
      </c>
      <c r="D6">
        <f t="shared" ref="D6" si="12">ROUND(B6*100/C6,1)</f>
        <v>62.8</v>
      </c>
      <c r="E6">
        <f t="shared" ref="E6" si="13">B6*0.4</f>
        <v>508.8</v>
      </c>
      <c r="F6">
        <v>271</v>
      </c>
      <c r="G6" s="17">
        <f t="shared" ref="G6" si="14">ROUND((E6-F6)/30,0)</f>
        <v>8</v>
      </c>
      <c r="I6" s="6">
        <f>1080+30</f>
        <v>1110</v>
      </c>
      <c r="J6" s="6">
        <v>1575</v>
      </c>
      <c r="K6" s="6">
        <f t="shared" ref="K6" si="15">ROUND(I6*100/J6,1)</f>
        <v>70.5</v>
      </c>
      <c r="M6">
        <f t="shared" ref="M6" si="16">I6*0.4</f>
        <v>444</v>
      </c>
      <c r="N6">
        <v>270</v>
      </c>
      <c r="O6" s="1">
        <f t="shared" ref="O6" si="17">ROUND((M6-N6)/30,0)</f>
        <v>6</v>
      </c>
      <c r="P6" s="1"/>
      <c r="Q6" s="9"/>
      <c r="R6">
        <f>165+12+795+16</f>
        <v>988</v>
      </c>
      <c r="S6">
        <f>390+1125</f>
        <v>1515</v>
      </c>
      <c r="T6">
        <f t="shared" si="10"/>
        <v>65.2</v>
      </c>
      <c r="U6">
        <f t="shared" si="11"/>
        <v>395.20000000000005</v>
      </c>
      <c r="V6" s="1">
        <v>270</v>
      </c>
      <c r="W6" s="17">
        <f t="shared" ref="W6" si="18">ROUND((U6-V6)/30,0)</f>
        <v>4</v>
      </c>
      <c r="Y6">
        <f>795+16</f>
        <v>811</v>
      </c>
      <c r="Z6">
        <v>1125</v>
      </c>
      <c r="AA6">
        <f t="shared" ref="AA6" si="19">ROUND(Y6*100/Z6,1)</f>
        <v>72.099999999999994</v>
      </c>
      <c r="AB6">
        <f t="shared" ref="AB6" si="20">Y6*0.4</f>
        <v>324.40000000000003</v>
      </c>
      <c r="AC6" s="1">
        <v>270</v>
      </c>
      <c r="AD6" s="1">
        <f t="shared" ref="AD6" si="21">ROUND((AB6-AC6)/30,0)</f>
        <v>2</v>
      </c>
    </row>
    <row r="7" spans="1:30" ht="18.75" customHeight="1" x14ac:dyDescent="0.25">
      <c r="A7" t="s">
        <v>7</v>
      </c>
      <c r="B7">
        <f>1050+46</f>
        <v>1096</v>
      </c>
      <c r="C7">
        <v>1935</v>
      </c>
      <c r="D7" s="4">
        <f t="shared" si="0"/>
        <v>56.6</v>
      </c>
      <c r="E7">
        <f t="shared" si="1"/>
        <v>438.40000000000003</v>
      </c>
      <c r="F7">
        <v>270</v>
      </c>
      <c r="G7" s="17">
        <f t="shared" si="2"/>
        <v>6</v>
      </c>
      <c r="I7" s="6">
        <f>900+34</f>
        <v>934</v>
      </c>
      <c r="J7" s="6">
        <v>1485</v>
      </c>
      <c r="K7" s="6">
        <f t="shared" si="3"/>
        <v>62.9</v>
      </c>
      <c r="M7">
        <f t="shared" si="4"/>
        <v>373.6</v>
      </c>
      <c r="N7">
        <v>270</v>
      </c>
      <c r="O7" s="1">
        <f t="shared" si="5"/>
        <v>3</v>
      </c>
      <c r="P7" s="1"/>
      <c r="Q7" s="9"/>
      <c r="R7">
        <f>165+12+765+20</f>
        <v>962</v>
      </c>
      <c r="S7">
        <f>390+1110</f>
        <v>1500</v>
      </c>
      <c r="T7" s="6">
        <f t="shared" si="10"/>
        <v>64.099999999999994</v>
      </c>
      <c r="U7">
        <f t="shared" si="11"/>
        <v>384.8</v>
      </c>
      <c r="V7" s="1">
        <v>270</v>
      </c>
      <c r="W7" s="17">
        <f t="shared" si="6"/>
        <v>4</v>
      </c>
      <c r="X7" s="6"/>
      <c r="Y7" s="6">
        <f>765+20</f>
        <v>785</v>
      </c>
      <c r="Z7" s="6">
        <v>1110</v>
      </c>
      <c r="AA7" s="6">
        <f t="shared" si="7"/>
        <v>70.7</v>
      </c>
      <c r="AB7">
        <f t="shared" si="8"/>
        <v>314</v>
      </c>
      <c r="AC7" s="1">
        <v>270</v>
      </c>
      <c r="AD7" s="1">
        <f t="shared" si="9"/>
        <v>1</v>
      </c>
    </row>
    <row r="8" spans="1:30" ht="18.75" customHeight="1" x14ac:dyDescent="0.25">
      <c r="A8" t="s">
        <v>55</v>
      </c>
      <c r="D8" s="4"/>
      <c r="G8" s="17"/>
      <c r="I8" s="6"/>
      <c r="J8" s="6"/>
      <c r="K8" s="6"/>
      <c r="O8" s="1"/>
      <c r="P8" s="1"/>
      <c r="Q8" s="9"/>
      <c r="R8">
        <f>165+12+765+20</f>
        <v>962</v>
      </c>
      <c r="S8">
        <f>390+1110</f>
        <v>1500</v>
      </c>
      <c r="T8" s="6">
        <f t="shared" si="10"/>
        <v>64.099999999999994</v>
      </c>
      <c r="U8">
        <f t="shared" ref="U8" si="22">R8*0.4</f>
        <v>384.8</v>
      </c>
      <c r="V8" s="1">
        <v>270</v>
      </c>
      <c r="W8" s="17">
        <f t="shared" si="6"/>
        <v>4</v>
      </c>
      <c r="X8" s="6"/>
      <c r="Y8" s="6">
        <f>765+20</f>
        <v>785</v>
      </c>
      <c r="Z8" s="6">
        <v>1110</v>
      </c>
      <c r="AA8" s="6">
        <f t="shared" si="7"/>
        <v>70.7</v>
      </c>
      <c r="AB8">
        <f t="shared" ref="AB8" si="23">Y8*0.4</f>
        <v>314</v>
      </c>
      <c r="AC8" s="1">
        <v>270</v>
      </c>
      <c r="AD8" s="1">
        <f t="shared" ref="AD8" si="24">ROUND((AB8-AC8)/30,0)</f>
        <v>1</v>
      </c>
    </row>
    <row r="9" spans="1:30" ht="18.75" customHeight="1" x14ac:dyDescent="0.25">
      <c r="A9" t="s">
        <v>8</v>
      </c>
      <c r="B9">
        <f>1140+44</f>
        <v>1184</v>
      </c>
      <c r="C9">
        <v>1890</v>
      </c>
      <c r="D9">
        <f t="shared" si="0"/>
        <v>62.6</v>
      </c>
      <c r="E9">
        <f t="shared" si="1"/>
        <v>473.6</v>
      </c>
      <c r="F9">
        <v>270</v>
      </c>
      <c r="G9" s="17">
        <f t="shared" si="2"/>
        <v>7</v>
      </c>
      <c r="I9" s="6">
        <f>990+32</f>
        <v>1022</v>
      </c>
      <c r="J9" s="6">
        <v>1440</v>
      </c>
      <c r="K9" s="6">
        <f t="shared" si="3"/>
        <v>71</v>
      </c>
      <c r="M9">
        <f t="shared" si="4"/>
        <v>408.8</v>
      </c>
      <c r="N9">
        <v>270</v>
      </c>
      <c r="O9" s="1">
        <f t="shared" si="5"/>
        <v>5</v>
      </c>
      <c r="P9" s="1"/>
      <c r="Q9" s="9"/>
      <c r="T9" t="e">
        <f t="shared" si="10"/>
        <v>#DIV/0!</v>
      </c>
      <c r="U9">
        <f t="shared" si="11"/>
        <v>0</v>
      </c>
      <c r="V9" s="1">
        <v>270</v>
      </c>
      <c r="W9" s="17">
        <f t="shared" si="6"/>
        <v>-9</v>
      </c>
      <c r="AA9" t="e">
        <f t="shared" si="7"/>
        <v>#DIV/0!</v>
      </c>
      <c r="AB9">
        <f t="shared" si="8"/>
        <v>0</v>
      </c>
      <c r="AC9" s="1">
        <v>270</v>
      </c>
      <c r="AD9" s="1">
        <f t="shared" si="9"/>
        <v>-9</v>
      </c>
    </row>
    <row r="10" spans="1:30" ht="18.75" customHeight="1" x14ac:dyDescent="0.25">
      <c r="A10" t="s">
        <v>9</v>
      </c>
      <c r="B10">
        <f>1140+44</f>
        <v>1184</v>
      </c>
      <c r="C10">
        <v>1980</v>
      </c>
      <c r="D10" s="4">
        <f t="shared" si="0"/>
        <v>59.8</v>
      </c>
      <c r="E10">
        <f t="shared" si="1"/>
        <v>473.6</v>
      </c>
      <c r="F10">
        <v>270</v>
      </c>
      <c r="G10" s="17">
        <f t="shared" si="2"/>
        <v>7</v>
      </c>
      <c r="I10" s="6">
        <f>990+32</f>
        <v>1022</v>
      </c>
      <c r="J10" s="6">
        <v>1530</v>
      </c>
      <c r="K10" s="6">
        <f t="shared" si="3"/>
        <v>66.8</v>
      </c>
      <c r="M10">
        <f t="shared" si="4"/>
        <v>408.8</v>
      </c>
      <c r="N10">
        <v>270</v>
      </c>
      <c r="O10" s="1">
        <f t="shared" si="5"/>
        <v>5</v>
      </c>
      <c r="P10" s="1"/>
      <c r="Q10" s="9"/>
      <c r="T10" t="e">
        <f t="shared" si="10"/>
        <v>#DIV/0!</v>
      </c>
      <c r="U10">
        <f t="shared" si="11"/>
        <v>0</v>
      </c>
      <c r="V10" s="1">
        <v>270</v>
      </c>
      <c r="W10" s="17">
        <f t="shared" si="6"/>
        <v>-9</v>
      </c>
      <c r="AA10" t="e">
        <f t="shared" si="7"/>
        <v>#DIV/0!</v>
      </c>
      <c r="AB10">
        <f t="shared" si="8"/>
        <v>0</v>
      </c>
      <c r="AC10" s="1">
        <v>270</v>
      </c>
      <c r="AD10" s="1">
        <f t="shared" si="9"/>
        <v>-9</v>
      </c>
    </row>
    <row r="11" spans="1:30" ht="18.75" customHeight="1" x14ac:dyDescent="0.25">
      <c r="A11" t="s">
        <v>10</v>
      </c>
      <c r="B11">
        <f>1020+46</f>
        <v>1066</v>
      </c>
      <c r="C11">
        <v>1920</v>
      </c>
      <c r="D11" s="4">
        <f t="shared" si="0"/>
        <v>55.5</v>
      </c>
      <c r="E11">
        <f t="shared" si="1"/>
        <v>426.40000000000003</v>
      </c>
      <c r="F11">
        <v>270</v>
      </c>
      <c r="G11" s="17">
        <f t="shared" si="2"/>
        <v>5</v>
      </c>
      <c r="I11" s="6">
        <f>870+34</f>
        <v>904</v>
      </c>
      <c r="J11" s="6">
        <v>1470</v>
      </c>
      <c r="K11" s="6">
        <f t="shared" si="3"/>
        <v>61.5</v>
      </c>
      <c r="M11">
        <f t="shared" si="4"/>
        <v>361.6</v>
      </c>
      <c r="N11">
        <v>270</v>
      </c>
      <c r="O11" s="1">
        <f t="shared" si="5"/>
        <v>3</v>
      </c>
      <c r="P11" s="1"/>
      <c r="Q11" s="9"/>
      <c r="R11">
        <f>165+12+705+16</f>
        <v>898</v>
      </c>
      <c r="S11">
        <f>390+750</f>
        <v>1140</v>
      </c>
      <c r="T11">
        <f t="shared" si="10"/>
        <v>78.8</v>
      </c>
      <c r="U11">
        <f t="shared" si="11"/>
        <v>359.20000000000005</v>
      </c>
      <c r="V11" s="1">
        <v>270</v>
      </c>
      <c r="W11" s="17">
        <f t="shared" si="6"/>
        <v>3</v>
      </c>
      <c r="Y11">
        <f>705+16</f>
        <v>721</v>
      </c>
      <c r="Z11">
        <v>1080</v>
      </c>
      <c r="AA11">
        <f t="shared" si="7"/>
        <v>66.8</v>
      </c>
      <c r="AB11">
        <f t="shared" si="8"/>
        <v>288.40000000000003</v>
      </c>
      <c r="AC11" s="1">
        <v>270</v>
      </c>
      <c r="AD11" s="1">
        <f t="shared" si="9"/>
        <v>1</v>
      </c>
    </row>
    <row r="12" spans="1:30" ht="18.75" customHeight="1" x14ac:dyDescent="0.25">
      <c r="A12" t="s">
        <v>28</v>
      </c>
      <c r="D12" s="4" t="e">
        <f t="shared" si="0"/>
        <v>#DIV/0!</v>
      </c>
      <c r="E12">
        <f t="shared" si="1"/>
        <v>0</v>
      </c>
      <c r="F12">
        <v>270</v>
      </c>
      <c r="G12" s="17">
        <f t="shared" si="2"/>
        <v>-9</v>
      </c>
      <c r="I12" s="6"/>
      <c r="J12" s="6"/>
      <c r="K12" s="6"/>
      <c r="M12">
        <f t="shared" si="4"/>
        <v>0</v>
      </c>
      <c r="N12">
        <v>270</v>
      </c>
      <c r="O12" s="1">
        <f t="shared" si="5"/>
        <v>-9</v>
      </c>
      <c r="P12" s="1"/>
      <c r="Q12" s="9"/>
      <c r="T12" t="e">
        <f t="shared" si="10"/>
        <v>#DIV/0!</v>
      </c>
      <c r="U12">
        <f t="shared" si="11"/>
        <v>0</v>
      </c>
      <c r="V12" s="1">
        <v>270</v>
      </c>
      <c r="W12" s="17">
        <f t="shared" si="6"/>
        <v>-9</v>
      </c>
      <c r="AA12" t="e">
        <f t="shared" si="7"/>
        <v>#DIV/0!</v>
      </c>
      <c r="AB12">
        <f t="shared" si="8"/>
        <v>0</v>
      </c>
      <c r="AC12" s="1">
        <v>270</v>
      </c>
      <c r="AD12" s="1">
        <f t="shared" si="9"/>
        <v>-9</v>
      </c>
    </row>
    <row r="13" spans="1:30" ht="18.75" customHeight="1" x14ac:dyDescent="0.25">
      <c r="A13" t="s">
        <v>11</v>
      </c>
      <c r="B13">
        <f>1080+44</f>
        <v>1124</v>
      </c>
      <c r="C13">
        <v>1950</v>
      </c>
      <c r="D13" s="18">
        <f t="shared" si="0"/>
        <v>57.6</v>
      </c>
      <c r="E13">
        <f t="shared" si="1"/>
        <v>449.6</v>
      </c>
      <c r="F13">
        <v>270</v>
      </c>
      <c r="G13" s="17">
        <f t="shared" si="2"/>
        <v>6</v>
      </c>
      <c r="I13" s="6">
        <f>930+32</f>
        <v>962</v>
      </c>
      <c r="J13" s="6">
        <v>1500</v>
      </c>
      <c r="K13" s="6">
        <f t="shared" si="3"/>
        <v>64.099999999999994</v>
      </c>
      <c r="M13">
        <f t="shared" si="4"/>
        <v>384.8</v>
      </c>
      <c r="N13">
        <v>270</v>
      </c>
      <c r="O13" s="1">
        <f t="shared" si="5"/>
        <v>4</v>
      </c>
      <c r="P13" s="1"/>
      <c r="Q13" s="9"/>
      <c r="T13" t="e">
        <f t="shared" si="10"/>
        <v>#DIV/0!</v>
      </c>
      <c r="U13">
        <f t="shared" si="11"/>
        <v>0</v>
      </c>
      <c r="V13" s="1">
        <v>270</v>
      </c>
      <c r="W13" s="17">
        <f t="shared" si="6"/>
        <v>-9</v>
      </c>
      <c r="AA13" t="e">
        <f t="shared" si="7"/>
        <v>#DIV/0!</v>
      </c>
      <c r="AB13">
        <f t="shared" si="8"/>
        <v>0</v>
      </c>
      <c r="AC13" s="1">
        <v>270</v>
      </c>
      <c r="AD13" s="1">
        <f t="shared" si="9"/>
        <v>-9</v>
      </c>
    </row>
    <row r="14" spans="1:30" ht="18.75" customHeight="1" x14ac:dyDescent="0.25">
      <c r="A14" t="s">
        <v>12</v>
      </c>
      <c r="B14">
        <f>1140+42</f>
        <v>1182</v>
      </c>
      <c r="C14">
        <v>1980</v>
      </c>
      <c r="D14" s="18">
        <f t="shared" si="0"/>
        <v>59.7</v>
      </c>
      <c r="E14">
        <f t="shared" si="1"/>
        <v>472.8</v>
      </c>
      <c r="F14">
        <v>270</v>
      </c>
      <c r="G14" s="17">
        <f t="shared" si="2"/>
        <v>7</v>
      </c>
      <c r="I14" s="6">
        <f>990+30</f>
        <v>1020</v>
      </c>
      <c r="J14" s="6">
        <v>1530</v>
      </c>
      <c r="K14" s="6">
        <f t="shared" si="3"/>
        <v>66.7</v>
      </c>
      <c r="M14">
        <f t="shared" si="4"/>
        <v>408</v>
      </c>
      <c r="N14">
        <v>270</v>
      </c>
      <c r="O14" s="1">
        <f t="shared" si="5"/>
        <v>5</v>
      </c>
      <c r="P14" s="1"/>
      <c r="Q14" s="9"/>
      <c r="R14">
        <f>165+12+765+14</f>
        <v>956</v>
      </c>
      <c r="S14">
        <f>390+1110</f>
        <v>1500</v>
      </c>
      <c r="T14" s="6">
        <f t="shared" si="10"/>
        <v>63.7</v>
      </c>
      <c r="U14">
        <f t="shared" si="11"/>
        <v>382.40000000000003</v>
      </c>
      <c r="V14" s="1">
        <v>270</v>
      </c>
      <c r="W14" s="17">
        <f t="shared" si="6"/>
        <v>4</v>
      </c>
      <c r="X14" s="6"/>
      <c r="Y14" s="6">
        <f>765+14</f>
        <v>779</v>
      </c>
      <c r="Z14" s="6">
        <v>1110</v>
      </c>
      <c r="AA14" s="6">
        <f t="shared" si="7"/>
        <v>70.2</v>
      </c>
      <c r="AB14">
        <f t="shared" si="8"/>
        <v>311.60000000000002</v>
      </c>
      <c r="AC14" s="1">
        <v>270</v>
      </c>
      <c r="AD14" s="1">
        <f t="shared" si="9"/>
        <v>1</v>
      </c>
    </row>
    <row r="15" spans="1:30" ht="18.75" customHeight="1" x14ac:dyDescent="0.25">
      <c r="A15" t="s">
        <v>13</v>
      </c>
      <c r="B15">
        <f>1065+48</f>
        <v>1113</v>
      </c>
      <c r="C15">
        <v>1950</v>
      </c>
      <c r="D15" s="4">
        <f t="shared" si="0"/>
        <v>57.1</v>
      </c>
      <c r="E15">
        <f t="shared" si="1"/>
        <v>445.20000000000005</v>
      </c>
      <c r="F15">
        <v>270</v>
      </c>
      <c r="G15" s="17">
        <f t="shared" si="2"/>
        <v>6</v>
      </c>
      <c r="I15" s="6">
        <f>915+36</f>
        <v>951</v>
      </c>
      <c r="J15" s="6">
        <v>1500</v>
      </c>
      <c r="K15" s="6">
        <f t="shared" si="3"/>
        <v>63.4</v>
      </c>
      <c r="M15">
        <f t="shared" si="4"/>
        <v>380.40000000000003</v>
      </c>
      <c r="N15">
        <v>270</v>
      </c>
      <c r="O15" s="1">
        <f t="shared" si="5"/>
        <v>4</v>
      </c>
      <c r="P15" s="1"/>
      <c r="Q15" s="9"/>
      <c r="T15" t="e">
        <f t="shared" si="10"/>
        <v>#DIV/0!</v>
      </c>
      <c r="U15">
        <f t="shared" si="11"/>
        <v>0</v>
      </c>
      <c r="V15" s="1">
        <v>270</v>
      </c>
      <c r="W15" s="17">
        <f t="shared" si="6"/>
        <v>-9</v>
      </c>
      <c r="AA15" t="e">
        <f t="shared" si="7"/>
        <v>#DIV/0!</v>
      </c>
      <c r="AB15">
        <f t="shared" si="8"/>
        <v>0</v>
      </c>
      <c r="AC15" s="1">
        <v>270</v>
      </c>
      <c r="AD15" s="1">
        <f t="shared" si="9"/>
        <v>-9</v>
      </c>
    </row>
    <row r="16" spans="1:30" ht="18.75" customHeight="1" x14ac:dyDescent="0.25">
      <c r="A16" t="s">
        <v>14</v>
      </c>
      <c r="B16">
        <f>1140+40</f>
        <v>1180</v>
      </c>
      <c r="C16">
        <v>1980</v>
      </c>
      <c r="D16" s="4">
        <f t="shared" si="0"/>
        <v>59.6</v>
      </c>
      <c r="E16">
        <f t="shared" si="1"/>
        <v>472</v>
      </c>
      <c r="F16">
        <v>270</v>
      </c>
      <c r="G16" s="17">
        <f t="shared" si="2"/>
        <v>7</v>
      </c>
      <c r="I16" s="6">
        <f>990+28</f>
        <v>1018</v>
      </c>
      <c r="J16" s="6">
        <v>1530</v>
      </c>
      <c r="K16" s="6">
        <f t="shared" si="3"/>
        <v>66.5</v>
      </c>
      <c r="M16">
        <f t="shared" si="4"/>
        <v>407.20000000000005</v>
      </c>
      <c r="N16">
        <v>270</v>
      </c>
      <c r="O16" s="1">
        <f t="shared" si="5"/>
        <v>5</v>
      </c>
      <c r="P16" s="1"/>
      <c r="Q16" s="9"/>
      <c r="R16">
        <f>165+12+675+16</f>
        <v>868</v>
      </c>
      <c r="S16">
        <f>390+1065</f>
        <v>1455</v>
      </c>
      <c r="T16" s="7">
        <f t="shared" si="10"/>
        <v>59.7</v>
      </c>
      <c r="U16">
        <f t="shared" si="11"/>
        <v>347.20000000000005</v>
      </c>
      <c r="V16" s="1">
        <v>270</v>
      </c>
      <c r="W16" s="17">
        <f t="shared" si="6"/>
        <v>3</v>
      </c>
      <c r="Y16">
        <f>675+16</f>
        <v>691</v>
      </c>
      <c r="Z16">
        <v>1065</v>
      </c>
      <c r="AA16">
        <f t="shared" si="7"/>
        <v>64.900000000000006</v>
      </c>
      <c r="AB16">
        <f t="shared" si="8"/>
        <v>276.40000000000003</v>
      </c>
      <c r="AC16" s="1">
        <v>270</v>
      </c>
      <c r="AD16" s="1">
        <f t="shared" si="9"/>
        <v>0</v>
      </c>
    </row>
    <row r="17" spans="1:30" ht="18.75" customHeight="1" x14ac:dyDescent="0.25">
      <c r="A17" t="s">
        <v>15</v>
      </c>
      <c r="D17" t="e">
        <f t="shared" si="0"/>
        <v>#DIV/0!</v>
      </c>
      <c r="E17">
        <f t="shared" si="1"/>
        <v>0</v>
      </c>
      <c r="F17">
        <v>270</v>
      </c>
      <c r="G17" s="17">
        <f t="shared" si="2"/>
        <v>-9</v>
      </c>
      <c r="I17" s="6"/>
      <c r="J17" s="6"/>
      <c r="K17" s="6" t="e">
        <f t="shared" si="3"/>
        <v>#DIV/0!</v>
      </c>
      <c r="M17">
        <f t="shared" si="4"/>
        <v>0</v>
      </c>
      <c r="N17">
        <v>270</v>
      </c>
      <c r="O17" s="1">
        <f t="shared" si="5"/>
        <v>-9</v>
      </c>
      <c r="P17" s="1"/>
      <c r="Q17" s="9"/>
      <c r="T17" t="e">
        <f t="shared" si="10"/>
        <v>#DIV/0!</v>
      </c>
      <c r="U17">
        <f t="shared" si="11"/>
        <v>0</v>
      </c>
      <c r="V17" s="1">
        <v>270</v>
      </c>
      <c r="W17" s="17">
        <f t="shared" si="6"/>
        <v>-9</v>
      </c>
      <c r="AA17" t="e">
        <f t="shared" si="7"/>
        <v>#DIV/0!</v>
      </c>
      <c r="AB17">
        <f t="shared" si="8"/>
        <v>0</v>
      </c>
      <c r="AC17" s="1">
        <v>270</v>
      </c>
      <c r="AD17" s="1">
        <f t="shared" si="9"/>
        <v>-9</v>
      </c>
    </row>
    <row r="18" spans="1:30" ht="18.75" customHeight="1" x14ac:dyDescent="0.25">
      <c r="A18" t="s">
        <v>16</v>
      </c>
      <c r="B18">
        <f>1170+52</f>
        <v>1222</v>
      </c>
      <c r="C18">
        <v>1995</v>
      </c>
      <c r="D18">
        <f t="shared" si="0"/>
        <v>61.3</v>
      </c>
      <c r="E18">
        <f t="shared" si="1"/>
        <v>488.8</v>
      </c>
      <c r="F18">
        <v>270</v>
      </c>
      <c r="G18" s="17">
        <f t="shared" si="2"/>
        <v>7</v>
      </c>
      <c r="I18" s="6">
        <f>1020+40</f>
        <v>1060</v>
      </c>
      <c r="J18" s="6">
        <v>1545</v>
      </c>
      <c r="K18" s="6">
        <f t="shared" si="3"/>
        <v>68.599999999999994</v>
      </c>
      <c r="M18">
        <f t="shared" si="4"/>
        <v>424</v>
      </c>
      <c r="N18">
        <v>270</v>
      </c>
      <c r="O18" s="1">
        <f t="shared" si="5"/>
        <v>5</v>
      </c>
      <c r="P18" s="1"/>
      <c r="Q18" s="9"/>
      <c r="R18">
        <f>165+12+825+30</f>
        <v>1032</v>
      </c>
      <c r="S18">
        <f>390+1140</f>
        <v>1530</v>
      </c>
      <c r="T18">
        <f t="shared" si="10"/>
        <v>67.5</v>
      </c>
      <c r="U18">
        <f t="shared" si="11"/>
        <v>412.8</v>
      </c>
      <c r="V18" s="1">
        <v>270</v>
      </c>
      <c r="W18" s="17">
        <f t="shared" si="6"/>
        <v>5</v>
      </c>
      <c r="Y18">
        <f>825+30</f>
        <v>855</v>
      </c>
      <c r="Z18">
        <f>1140</f>
        <v>1140</v>
      </c>
      <c r="AA18">
        <f t="shared" si="7"/>
        <v>75</v>
      </c>
      <c r="AB18">
        <f t="shared" si="8"/>
        <v>342</v>
      </c>
      <c r="AC18" s="1">
        <v>270</v>
      </c>
      <c r="AD18" s="1">
        <f t="shared" si="9"/>
        <v>2</v>
      </c>
    </row>
    <row r="19" spans="1:30" ht="18.75" customHeight="1" x14ac:dyDescent="0.25">
      <c r="A19" t="s">
        <v>17</v>
      </c>
      <c r="B19">
        <f>1170+52</f>
        <v>1222</v>
      </c>
      <c r="C19">
        <v>1995</v>
      </c>
      <c r="D19">
        <f t="shared" si="0"/>
        <v>61.3</v>
      </c>
      <c r="E19">
        <f t="shared" si="1"/>
        <v>488.8</v>
      </c>
      <c r="F19">
        <v>270</v>
      </c>
      <c r="G19" s="17">
        <f t="shared" si="2"/>
        <v>7</v>
      </c>
      <c r="I19" s="6">
        <f>1020+40</f>
        <v>1060</v>
      </c>
      <c r="J19" s="6">
        <v>1545</v>
      </c>
      <c r="K19" s="6">
        <f t="shared" si="3"/>
        <v>68.599999999999994</v>
      </c>
      <c r="M19">
        <f t="shared" si="4"/>
        <v>424</v>
      </c>
      <c r="N19">
        <v>270</v>
      </c>
      <c r="O19" s="1">
        <f t="shared" si="5"/>
        <v>5</v>
      </c>
      <c r="P19" s="1"/>
      <c r="Q19" s="9"/>
      <c r="R19">
        <f>165+12+825+30</f>
        <v>1032</v>
      </c>
      <c r="S19">
        <f>390+1140</f>
        <v>1530</v>
      </c>
      <c r="T19" s="6">
        <f t="shared" si="10"/>
        <v>67.5</v>
      </c>
      <c r="U19">
        <f t="shared" si="11"/>
        <v>412.8</v>
      </c>
      <c r="V19" s="1">
        <v>270</v>
      </c>
      <c r="W19" s="17">
        <f t="shared" si="6"/>
        <v>5</v>
      </c>
      <c r="X19" s="6"/>
      <c r="Y19" s="6">
        <f>825+30</f>
        <v>855</v>
      </c>
      <c r="Z19" s="6">
        <v>1140</v>
      </c>
      <c r="AA19" s="6">
        <f t="shared" si="7"/>
        <v>75</v>
      </c>
      <c r="AB19">
        <f t="shared" si="8"/>
        <v>342</v>
      </c>
      <c r="AC19" s="1">
        <v>270</v>
      </c>
      <c r="AD19" s="1">
        <f t="shared" si="9"/>
        <v>2</v>
      </c>
    </row>
    <row r="20" spans="1:30" ht="18.75" customHeight="1" x14ac:dyDescent="0.25">
      <c r="A20" t="s">
        <v>18</v>
      </c>
      <c r="D20" t="e">
        <f t="shared" si="0"/>
        <v>#DIV/0!</v>
      </c>
      <c r="E20">
        <f t="shared" si="1"/>
        <v>0</v>
      </c>
      <c r="F20">
        <v>270</v>
      </c>
      <c r="G20" s="17">
        <f t="shared" si="2"/>
        <v>-9</v>
      </c>
      <c r="I20" s="6"/>
      <c r="J20" s="6"/>
      <c r="K20" s="6" t="e">
        <f t="shared" si="3"/>
        <v>#DIV/0!</v>
      </c>
      <c r="M20">
        <f t="shared" si="4"/>
        <v>0</v>
      </c>
      <c r="N20">
        <v>270</v>
      </c>
      <c r="O20" s="1">
        <f t="shared" si="5"/>
        <v>-9</v>
      </c>
      <c r="P20" s="1"/>
      <c r="Q20" s="9"/>
      <c r="T20" t="e">
        <f t="shared" si="10"/>
        <v>#DIV/0!</v>
      </c>
      <c r="U20">
        <f t="shared" si="11"/>
        <v>0</v>
      </c>
      <c r="V20" s="1">
        <v>270</v>
      </c>
      <c r="W20" s="17">
        <f t="shared" si="6"/>
        <v>-9</v>
      </c>
      <c r="AA20" t="e">
        <f t="shared" si="7"/>
        <v>#DIV/0!</v>
      </c>
      <c r="AB20">
        <f t="shared" si="8"/>
        <v>0</v>
      </c>
      <c r="AC20" s="1">
        <v>270</v>
      </c>
      <c r="AD20" s="1">
        <f t="shared" si="9"/>
        <v>-9</v>
      </c>
    </row>
    <row r="21" spans="1:30" ht="18.75" customHeight="1" x14ac:dyDescent="0.25">
      <c r="A21" t="s">
        <v>30</v>
      </c>
      <c r="B21">
        <f>1170+52</f>
        <v>1222</v>
      </c>
      <c r="C21">
        <v>1995</v>
      </c>
      <c r="D21">
        <f t="shared" si="0"/>
        <v>61.3</v>
      </c>
      <c r="E21">
        <f t="shared" si="1"/>
        <v>488.8</v>
      </c>
      <c r="F21">
        <v>270</v>
      </c>
      <c r="G21" s="17">
        <f t="shared" si="2"/>
        <v>7</v>
      </c>
      <c r="I21" s="6">
        <f>1020+40</f>
        <v>1060</v>
      </c>
      <c r="J21" s="6">
        <v>1545</v>
      </c>
      <c r="K21" s="6">
        <f t="shared" si="3"/>
        <v>68.599999999999994</v>
      </c>
      <c r="M21">
        <f t="shared" si="4"/>
        <v>424</v>
      </c>
      <c r="N21">
        <v>270</v>
      </c>
      <c r="O21" s="1">
        <f t="shared" si="5"/>
        <v>5</v>
      </c>
      <c r="P21" s="1"/>
      <c r="Q21" s="9"/>
      <c r="T21" t="e">
        <f t="shared" si="10"/>
        <v>#DIV/0!</v>
      </c>
      <c r="U21">
        <f t="shared" si="11"/>
        <v>0</v>
      </c>
      <c r="V21" s="1">
        <v>270</v>
      </c>
      <c r="W21" s="17">
        <f t="shared" si="6"/>
        <v>-9</v>
      </c>
      <c r="AA21" t="e">
        <f t="shared" si="7"/>
        <v>#DIV/0!</v>
      </c>
      <c r="AB21">
        <f t="shared" si="8"/>
        <v>0</v>
      </c>
      <c r="AC21" s="1">
        <v>270</v>
      </c>
      <c r="AD21" s="1">
        <f t="shared" si="9"/>
        <v>-9</v>
      </c>
    </row>
    <row r="22" spans="1:30" ht="18.75" customHeight="1" x14ac:dyDescent="0.25">
      <c r="A22" t="s">
        <v>19</v>
      </c>
      <c r="B22">
        <f>1200+48</f>
        <v>1248</v>
      </c>
      <c r="C22">
        <v>2010</v>
      </c>
      <c r="D22">
        <f t="shared" si="0"/>
        <v>62.1</v>
      </c>
      <c r="E22">
        <f t="shared" si="1"/>
        <v>499.20000000000005</v>
      </c>
      <c r="F22">
        <v>270</v>
      </c>
      <c r="G22" s="17">
        <f t="shared" si="2"/>
        <v>8</v>
      </c>
      <c r="I22" s="6">
        <f>240+12+750+20+64</f>
        <v>1086</v>
      </c>
      <c r="J22" s="6">
        <f>360+1050+150</f>
        <v>1560</v>
      </c>
      <c r="K22" s="6">
        <f t="shared" si="3"/>
        <v>69.599999999999994</v>
      </c>
      <c r="M22">
        <f t="shared" si="4"/>
        <v>434.40000000000003</v>
      </c>
      <c r="N22">
        <v>270</v>
      </c>
      <c r="O22" s="1">
        <f t="shared" si="5"/>
        <v>5</v>
      </c>
      <c r="P22" s="1"/>
      <c r="Q22" s="9"/>
      <c r="R22">
        <f>165+12+795+22</f>
        <v>994</v>
      </c>
      <c r="S22">
        <f>390+1125</f>
        <v>1515</v>
      </c>
      <c r="T22">
        <f t="shared" si="10"/>
        <v>65.599999999999994</v>
      </c>
      <c r="U22">
        <f t="shared" si="11"/>
        <v>397.6</v>
      </c>
      <c r="V22" s="1">
        <v>270</v>
      </c>
      <c r="W22" s="17">
        <f t="shared" si="6"/>
        <v>4</v>
      </c>
      <c r="Y22">
        <f>795+22</f>
        <v>817</v>
      </c>
      <c r="Z22">
        <v>1125</v>
      </c>
      <c r="AA22">
        <f t="shared" si="7"/>
        <v>72.599999999999994</v>
      </c>
      <c r="AB22">
        <f t="shared" si="8"/>
        <v>326.8</v>
      </c>
      <c r="AC22" s="1">
        <v>270</v>
      </c>
      <c r="AD22" s="1">
        <f t="shared" si="9"/>
        <v>2</v>
      </c>
    </row>
    <row r="23" spans="1:30" ht="18.75" customHeight="1" x14ac:dyDescent="0.25">
      <c r="A23" t="s">
        <v>20</v>
      </c>
      <c r="B23">
        <f>1230+48</f>
        <v>1278</v>
      </c>
      <c r="C23">
        <v>2025</v>
      </c>
      <c r="D23">
        <f t="shared" si="0"/>
        <v>63.1</v>
      </c>
      <c r="E23">
        <f t="shared" si="1"/>
        <v>511.20000000000005</v>
      </c>
      <c r="F23">
        <v>270</v>
      </c>
      <c r="G23" s="17">
        <f t="shared" si="2"/>
        <v>8</v>
      </c>
      <c r="I23" s="6">
        <f>240+12+780+20+60+4</f>
        <v>1116</v>
      </c>
      <c r="J23" s="6">
        <f>360+1065+150</f>
        <v>1575</v>
      </c>
      <c r="K23" s="6">
        <f t="shared" si="3"/>
        <v>70.900000000000006</v>
      </c>
      <c r="M23">
        <f t="shared" si="4"/>
        <v>446.40000000000003</v>
      </c>
      <c r="N23">
        <v>270</v>
      </c>
      <c r="O23" s="1">
        <f t="shared" si="5"/>
        <v>6</v>
      </c>
      <c r="P23" s="1"/>
      <c r="Q23" s="9"/>
      <c r="R23">
        <f>165+12+210+10+555+14+60+2</f>
        <v>1028</v>
      </c>
      <c r="S23">
        <f>390+315+735+90</f>
        <v>1530</v>
      </c>
      <c r="T23">
        <f t="shared" si="10"/>
        <v>67.2</v>
      </c>
      <c r="U23">
        <f t="shared" si="11"/>
        <v>411.20000000000005</v>
      </c>
      <c r="V23" s="1">
        <v>270</v>
      </c>
      <c r="W23" s="17">
        <f t="shared" si="6"/>
        <v>5</v>
      </c>
      <c r="Y23">
        <f>210+10+555+14+60+2</f>
        <v>851</v>
      </c>
      <c r="Z23">
        <f>315+735+90</f>
        <v>1140</v>
      </c>
      <c r="AA23">
        <f t="shared" si="7"/>
        <v>74.599999999999994</v>
      </c>
      <c r="AB23">
        <f t="shared" si="8"/>
        <v>340.40000000000003</v>
      </c>
      <c r="AC23" s="1">
        <v>270</v>
      </c>
      <c r="AD23" s="1">
        <f t="shared" si="9"/>
        <v>2</v>
      </c>
    </row>
    <row r="24" spans="1:30" ht="18.75" customHeight="1" x14ac:dyDescent="0.25">
      <c r="A24" t="s">
        <v>31</v>
      </c>
      <c r="B24">
        <f>1200+48</f>
        <v>1248</v>
      </c>
      <c r="C24">
        <v>2010</v>
      </c>
      <c r="D24">
        <f t="shared" si="0"/>
        <v>62.1</v>
      </c>
      <c r="E24">
        <f t="shared" si="1"/>
        <v>499.20000000000005</v>
      </c>
      <c r="F24">
        <v>270</v>
      </c>
      <c r="G24" s="17">
        <f t="shared" si="2"/>
        <v>8</v>
      </c>
      <c r="I24" s="6">
        <f>240+12+750+20+60+4</f>
        <v>1086</v>
      </c>
      <c r="J24" s="6">
        <f>1050+150+360</f>
        <v>1560</v>
      </c>
      <c r="K24" s="6">
        <f t="shared" si="3"/>
        <v>69.599999999999994</v>
      </c>
      <c r="M24">
        <f t="shared" si="4"/>
        <v>434.40000000000003</v>
      </c>
      <c r="N24">
        <v>270</v>
      </c>
      <c r="O24" s="1">
        <f t="shared" si="5"/>
        <v>5</v>
      </c>
      <c r="P24" s="1"/>
      <c r="Q24" s="9"/>
      <c r="R24">
        <f>165+12+795+24</f>
        <v>996</v>
      </c>
      <c r="S24">
        <f>390+1125</f>
        <v>1515</v>
      </c>
      <c r="T24">
        <f t="shared" si="10"/>
        <v>65.7</v>
      </c>
      <c r="U24">
        <f t="shared" si="11"/>
        <v>398.40000000000003</v>
      </c>
      <c r="V24" s="1">
        <v>270</v>
      </c>
      <c r="W24" s="17">
        <f t="shared" si="6"/>
        <v>4</v>
      </c>
      <c r="Y24">
        <f>795+24</f>
        <v>819</v>
      </c>
      <c r="Z24">
        <v>1125</v>
      </c>
      <c r="AA24">
        <f t="shared" si="7"/>
        <v>72.8</v>
      </c>
      <c r="AB24">
        <f t="shared" si="8"/>
        <v>327.60000000000002</v>
      </c>
      <c r="AC24" s="1">
        <v>270</v>
      </c>
      <c r="AD24" s="1">
        <f t="shared" si="9"/>
        <v>2</v>
      </c>
    </row>
    <row r="25" spans="1:30" ht="18.75" customHeight="1" x14ac:dyDescent="0.25">
      <c r="A25" t="s">
        <v>21</v>
      </c>
      <c r="B25">
        <f>1020+40</f>
        <v>1060</v>
      </c>
      <c r="C25">
        <v>1920</v>
      </c>
      <c r="D25" s="2">
        <f t="shared" si="0"/>
        <v>55.2</v>
      </c>
      <c r="E25">
        <f t="shared" si="1"/>
        <v>424</v>
      </c>
      <c r="F25">
        <v>270</v>
      </c>
      <c r="G25" s="17">
        <f t="shared" si="2"/>
        <v>5</v>
      </c>
      <c r="I25" s="6">
        <f>870+28</f>
        <v>898</v>
      </c>
      <c r="J25" s="6">
        <v>1470</v>
      </c>
      <c r="K25" s="6">
        <f t="shared" si="3"/>
        <v>61.1</v>
      </c>
      <c r="M25">
        <f t="shared" si="4"/>
        <v>359.20000000000005</v>
      </c>
      <c r="N25">
        <v>270</v>
      </c>
      <c r="O25" s="1">
        <f t="shared" si="5"/>
        <v>3</v>
      </c>
      <c r="P25" s="1"/>
      <c r="Q25" s="9"/>
      <c r="R25">
        <f>165+12+600+22</f>
        <v>799</v>
      </c>
      <c r="S25">
        <f>390+1020</f>
        <v>1410</v>
      </c>
      <c r="T25" s="7">
        <f t="shared" si="10"/>
        <v>56.7</v>
      </c>
      <c r="U25">
        <f t="shared" si="11"/>
        <v>319.60000000000002</v>
      </c>
      <c r="V25" s="1">
        <v>270</v>
      </c>
      <c r="W25" s="17">
        <f t="shared" si="6"/>
        <v>2</v>
      </c>
      <c r="Y25">
        <f>600+22</f>
        <v>622</v>
      </c>
      <c r="Z25">
        <v>1020</v>
      </c>
      <c r="AA25">
        <f t="shared" si="7"/>
        <v>61</v>
      </c>
      <c r="AB25">
        <f t="shared" si="8"/>
        <v>248.8</v>
      </c>
      <c r="AC25" s="1">
        <v>270</v>
      </c>
      <c r="AD25" s="1">
        <f t="shared" si="9"/>
        <v>-1</v>
      </c>
    </row>
    <row r="26" spans="1:30" ht="18.75" customHeight="1" x14ac:dyDescent="0.25">
      <c r="A26" t="s">
        <v>22</v>
      </c>
      <c r="B26">
        <f>1050+46</f>
        <v>1096</v>
      </c>
      <c r="C26">
        <v>1935</v>
      </c>
      <c r="D26" s="2">
        <f t="shared" si="0"/>
        <v>56.6</v>
      </c>
      <c r="E26">
        <f t="shared" si="1"/>
        <v>438.40000000000003</v>
      </c>
      <c r="F26">
        <v>270</v>
      </c>
      <c r="G26" s="17">
        <f t="shared" si="2"/>
        <v>6</v>
      </c>
      <c r="I26" s="6">
        <v>934</v>
      </c>
      <c r="J26" s="6">
        <v>1485</v>
      </c>
      <c r="K26" s="6">
        <f t="shared" si="3"/>
        <v>62.9</v>
      </c>
      <c r="M26">
        <f t="shared" si="4"/>
        <v>373.6</v>
      </c>
      <c r="N26">
        <v>270</v>
      </c>
      <c r="O26" s="1">
        <f t="shared" si="5"/>
        <v>3</v>
      </c>
      <c r="P26" s="1"/>
      <c r="Q26" s="9"/>
      <c r="R26">
        <f>165+12+720+20</f>
        <v>917</v>
      </c>
      <c r="S26">
        <f>390+1080</f>
        <v>1470</v>
      </c>
      <c r="T26" s="6">
        <f t="shared" si="10"/>
        <v>62.4</v>
      </c>
      <c r="U26">
        <f t="shared" si="11"/>
        <v>366.8</v>
      </c>
      <c r="V26" s="1">
        <v>270</v>
      </c>
      <c r="W26" s="17">
        <f t="shared" si="6"/>
        <v>3</v>
      </c>
      <c r="X26" s="6"/>
      <c r="Y26" s="6">
        <f>720+20</f>
        <v>740</v>
      </c>
      <c r="Z26" s="6">
        <v>1080</v>
      </c>
      <c r="AA26" s="6">
        <f t="shared" si="7"/>
        <v>68.5</v>
      </c>
      <c r="AB26">
        <f t="shared" si="8"/>
        <v>296</v>
      </c>
      <c r="AC26" s="1">
        <v>270</v>
      </c>
      <c r="AD26" s="1">
        <f t="shared" si="9"/>
        <v>1</v>
      </c>
    </row>
    <row r="27" spans="1:30" ht="18.75" customHeight="1" x14ac:dyDescent="0.25">
      <c r="A27" t="s">
        <v>29</v>
      </c>
      <c r="D27" s="4" t="e">
        <f t="shared" si="0"/>
        <v>#DIV/0!</v>
      </c>
      <c r="E27">
        <f t="shared" si="1"/>
        <v>0</v>
      </c>
      <c r="F27">
        <v>270</v>
      </c>
      <c r="G27" s="17">
        <f t="shared" si="2"/>
        <v>-9</v>
      </c>
      <c r="I27" s="6"/>
      <c r="J27" s="6"/>
      <c r="K27" s="6"/>
      <c r="M27">
        <f t="shared" si="4"/>
        <v>0</v>
      </c>
      <c r="N27">
        <v>270</v>
      </c>
      <c r="O27" s="1">
        <f t="shared" si="5"/>
        <v>-9</v>
      </c>
      <c r="P27" s="1"/>
      <c r="Q27" s="9"/>
      <c r="T27" s="7" t="e">
        <f t="shared" si="10"/>
        <v>#DIV/0!</v>
      </c>
      <c r="U27">
        <f t="shared" si="11"/>
        <v>0</v>
      </c>
      <c r="V27" s="1">
        <v>270</v>
      </c>
      <c r="W27" s="17">
        <f t="shared" si="6"/>
        <v>-9</v>
      </c>
      <c r="X27" s="6"/>
      <c r="Y27" s="6"/>
      <c r="Z27" s="6"/>
      <c r="AA27" s="6" t="e">
        <f t="shared" si="7"/>
        <v>#DIV/0!</v>
      </c>
      <c r="AB27">
        <f t="shared" si="8"/>
        <v>0</v>
      </c>
      <c r="AC27" s="1">
        <v>270</v>
      </c>
      <c r="AD27" s="1">
        <f t="shared" si="9"/>
        <v>-9</v>
      </c>
    </row>
    <row r="28" spans="1:30" ht="18.75" customHeight="1" x14ac:dyDescent="0.25">
      <c r="A28" t="s">
        <v>23</v>
      </c>
      <c r="B28">
        <f>990+48</f>
        <v>1038</v>
      </c>
      <c r="C28">
        <v>1905</v>
      </c>
      <c r="D28" s="4">
        <f t="shared" si="0"/>
        <v>54.5</v>
      </c>
      <c r="E28">
        <f t="shared" si="1"/>
        <v>415.20000000000005</v>
      </c>
      <c r="F28">
        <v>270</v>
      </c>
      <c r="G28" s="17">
        <f t="shared" si="2"/>
        <v>5</v>
      </c>
      <c r="I28" s="6">
        <f>840+36</f>
        <v>876</v>
      </c>
      <c r="J28" s="6">
        <v>1455</v>
      </c>
      <c r="K28" s="6">
        <f t="shared" si="3"/>
        <v>60.2</v>
      </c>
      <c r="M28">
        <f t="shared" si="4"/>
        <v>350.40000000000003</v>
      </c>
      <c r="N28">
        <v>270</v>
      </c>
      <c r="O28" s="1">
        <f t="shared" si="5"/>
        <v>3</v>
      </c>
      <c r="P28" s="1"/>
      <c r="Q28" s="9"/>
      <c r="R28">
        <f>165+12+615+22</f>
        <v>814</v>
      </c>
      <c r="S28">
        <f>390+1035</f>
        <v>1425</v>
      </c>
      <c r="T28" s="7">
        <f t="shared" si="10"/>
        <v>57.1</v>
      </c>
      <c r="U28">
        <f t="shared" si="11"/>
        <v>325.60000000000002</v>
      </c>
      <c r="V28" s="1">
        <v>270</v>
      </c>
      <c r="W28" s="17">
        <f t="shared" si="6"/>
        <v>2</v>
      </c>
      <c r="Y28">
        <f>615+22</f>
        <v>637</v>
      </c>
      <c r="Z28" s="6">
        <v>1035</v>
      </c>
      <c r="AA28">
        <f t="shared" si="7"/>
        <v>61.5</v>
      </c>
      <c r="AB28">
        <f t="shared" si="8"/>
        <v>254.8</v>
      </c>
      <c r="AC28" s="1">
        <v>270</v>
      </c>
      <c r="AD28" s="1">
        <f t="shared" si="9"/>
        <v>-1</v>
      </c>
    </row>
    <row r="29" spans="1:30" ht="18.75" customHeight="1" x14ac:dyDescent="0.25">
      <c r="A29" t="s">
        <v>24</v>
      </c>
      <c r="B29">
        <f>1200+48</f>
        <v>1248</v>
      </c>
      <c r="C29">
        <v>2010</v>
      </c>
      <c r="D29">
        <f t="shared" si="0"/>
        <v>62.1</v>
      </c>
      <c r="E29">
        <f t="shared" si="1"/>
        <v>499.20000000000005</v>
      </c>
      <c r="F29">
        <v>270</v>
      </c>
      <c r="G29" s="17">
        <f t="shared" si="2"/>
        <v>8</v>
      </c>
      <c r="I29" s="6">
        <f>1050+36</f>
        <v>1086</v>
      </c>
      <c r="J29" s="6">
        <v>1560</v>
      </c>
      <c r="K29" s="6">
        <f t="shared" si="3"/>
        <v>69.599999999999994</v>
      </c>
      <c r="M29">
        <f t="shared" si="4"/>
        <v>434.40000000000003</v>
      </c>
      <c r="N29">
        <v>270</v>
      </c>
      <c r="O29" s="1">
        <f t="shared" si="5"/>
        <v>5</v>
      </c>
      <c r="P29" s="1"/>
      <c r="Q29" s="9"/>
      <c r="R29">
        <f>165+12+825+2</f>
        <v>1004</v>
      </c>
      <c r="S29">
        <f>390+1140</f>
        <v>1530</v>
      </c>
      <c r="T29">
        <f t="shared" si="10"/>
        <v>65.599999999999994</v>
      </c>
      <c r="U29">
        <f t="shared" si="11"/>
        <v>401.6</v>
      </c>
      <c r="V29" s="1">
        <v>270</v>
      </c>
      <c r="W29" s="17">
        <f t="shared" si="6"/>
        <v>4</v>
      </c>
      <c r="Y29">
        <f>825+20</f>
        <v>845</v>
      </c>
      <c r="Z29">
        <f>1140</f>
        <v>1140</v>
      </c>
      <c r="AA29">
        <f t="shared" si="7"/>
        <v>74.099999999999994</v>
      </c>
      <c r="AB29">
        <f t="shared" si="8"/>
        <v>338</v>
      </c>
      <c r="AC29" s="1">
        <v>270</v>
      </c>
      <c r="AD29" s="1">
        <f t="shared" si="9"/>
        <v>2</v>
      </c>
    </row>
    <row r="30" spans="1:30" ht="18.75" customHeight="1" x14ac:dyDescent="0.25">
      <c r="A30" s="5" t="s">
        <v>27</v>
      </c>
      <c r="D30" t="s">
        <v>52</v>
      </c>
      <c r="E30">
        <f t="shared" si="1"/>
        <v>0</v>
      </c>
      <c r="G30" s="1">
        <f t="shared" ref="G30" si="25">ROUND(E30/30,0)</f>
        <v>0</v>
      </c>
      <c r="I30" s="6"/>
      <c r="J30" s="6"/>
      <c r="K30" s="6" t="s">
        <v>53</v>
      </c>
      <c r="M30">
        <f t="shared" si="4"/>
        <v>0</v>
      </c>
      <c r="O30" s="1">
        <f t="shared" si="5"/>
        <v>0</v>
      </c>
      <c r="P30" s="1"/>
      <c r="Q30" s="9"/>
      <c r="U30">
        <f t="shared" si="11"/>
        <v>0</v>
      </c>
      <c r="V30" s="1">
        <v>270</v>
      </c>
      <c r="W30" s="17">
        <f t="shared" si="6"/>
        <v>-9</v>
      </c>
      <c r="AB30">
        <f t="shared" si="8"/>
        <v>0</v>
      </c>
      <c r="AC30" s="1">
        <v>270</v>
      </c>
      <c r="AD30" s="1">
        <f t="shared" si="9"/>
        <v>-9</v>
      </c>
    </row>
    <row r="31" spans="1:30" ht="18.75" customHeight="1" x14ac:dyDescent="0.25">
      <c r="Q31" s="9"/>
      <c r="U31">
        <f t="shared" si="11"/>
        <v>0</v>
      </c>
      <c r="V31" s="1">
        <v>270</v>
      </c>
      <c r="W31" s="17">
        <f t="shared" si="6"/>
        <v>-9</v>
      </c>
      <c r="AB31">
        <f t="shared" si="8"/>
        <v>0</v>
      </c>
      <c r="AC31" s="1">
        <v>270</v>
      </c>
      <c r="AD31" s="1">
        <f t="shared" si="9"/>
        <v>-9</v>
      </c>
    </row>
    <row r="32" spans="1:30" ht="18.75" customHeight="1" x14ac:dyDescent="0.25">
      <c r="D32" s="5" t="s">
        <v>43</v>
      </c>
      <c r="Q32" s="10" t="s">
        <v>36</v>
      </c>
      <c r="R32">
        <f>120+12+735+16</f>
        <v>883</v>
      </c>
      <c r="S32">
        <f>315+990</f>
        <v>1305</v>
      </c>
      <c r="T32" s="6">
        <f t="shared" ref="T32" si="26">ROUND(R32*100/S32,1)</f>
        <v>67.7</v>
      </c>
      <c r="U32">
        <f t="shared" si="11"/>
        <v>353.20000000000005</v>
      </c>
      <c r="V32" s="1">
        <v>270</v>
      </c>
      <c r="W32" s="17">
        <f t="shared" si="6"/>
        <v>3</v>
      </c>
      <c r="X32" s="6"/>
      <c r="Y32" s="6">
        <f>735+16</f>
        <v>751</v>
      </c>
      <c r="Z32" s="6">
        <v>990</v>
      </c>
      <c r="AA32" s="6">
        <f t="shared" ref="AA32:AA34" si="27">ROUND(Y32*100/Z32,1)</f>
        <v>75.900000000000006</v>
      </c>
      <c r="AB32">
        <f t="shared" si="8"/>
        <v>300.40000000000003</v>
      </c>
      <c r="AC32" s="1">
        <v>270</v>
      </c>
      <c r="AD32" s="1">
        <f t="shared" si="9"/>
        <v>1</v>
      </c>
    </row>
    <row r="33" spans="4:30" ht="18.75" customHeight="1" x14ac:dyDescent="0.25">
      <c r="E33" t="s">
        <v>34</v>
      </c>
      <c r="I33" t="s">
        <v>35</v>
      </c>
      <c r="J33" t="s">
        <v>58</v>
      </c>
      <c r="K33" s="8" t="s">
        <v>32</v>
      </c>
      <c r="Q33" s="10"/>
      <c r="R33">
        <f>120+12+735+26</f>
        <v>893</v>
      </c>
      <c r="S33">
        <f>315+990</f>
        <v>1305</v>
      </c>
      <c r="T33" s="6">
        <f t="shared" ref="T33" si="28">ROUND(R33*100/S33,1)</f>
        <v>68.400000000000006</v>
      </c>
      <c r="U33">
        <f t="shared" ref="U33" si="29">R33*0.4</f>
        <v>357.20000000000005</v>
      </c>
      <c r="V33" s="1">
        <v>270</v>
      </c>
      <c r="W33" s="17">
        <f t="shared" si="6"/>
        <v>3</v>
      </c>
      <c r="Y33">
        <f>735+26</f>
        <v>761</v>
      </c>
      <c r="Z33">
        <f>990</f>
        <v>990</v>
      </c>
      <c r="AA33">
        <f t="shared" si="27"/>
        <v>76.900000000000006</v>
      </c>
      <c r="AB33">
        <f t="shared" si="8"/>
        <v>304.40000000000003</v>
      </c>
      <c r="AC33" s="1">
        <v>270</v>
      </c>
      <c r="AD33" s="1">
        <f t="shared" si="9"/>
        <v>1</v>
      </c>
    </row>
    <row r="34" spans="4:30" ht="18.75" customHeight="1" x14ac:dyDescent="0.25">
      <c r="D34" t="s">
        <v>33</v>
      </c>
      <c r="E34">
        <v>23</v>
      </c>
      <c r="I34">
        <v>17</v>
      </c>
      <c r="J34">
        <v>2</v>
      </c>
      <c r="K34">
        <f>E34+I34+J34</f>
        <v>42</v>
      </c>
      <c r="Q34" s="10"/>
      <c r="T34" s="6"/>
      <c r="V34" s="1">
        <v>270</v>
      </c>
      <c r="W34" s="17">
        <f t="shared" si="6"/>
        <v>-9</v>
      </c>
      <c r="X34" s="6"/>
      <c r="Y34" s="6"/>
      <c r="Z34" s="6"/>
      <c r="AA34" s="6" t="e">
        <f t="shared" si="27"/>
        <v>#DIV/0!</v>
      </c>
      <c r="AB34">
        <f t="shared" si="8"/>
        <v>0</v>
      </c>
      <c r="AC34" s="1">
        <v>270</v>
      </c>
      <c r="AD34" s="1">
        <f t="shared" si="9"/>
        <v>-9</v>
      </c>
    </row>
    <row r="35" spans="4:30" ht="18.75" customHeight="1" x14ac:dyDescent="0.25">
      <c r="D35" t="s">
        <v>42</v>
      </c>
      <c r="K35" s="8" t="s">
        <v>59</v>
      </c>
      <c r="M35">
        <f>2900/42</f>
        <v>69.047619047619051</v>
      </c>
      <c r="Q35" s="9"/>
      <c r="R35" s="5" t="s">
        <v>32</v>
      </c>
      <c r="T35" s="5" t="s">
        <v>56</v>
      </c>
      <c r="AA35" s="5" t="s">
        <v>57</v>
      </c>
    </row>
    <row r="36" spans="4:30" ht="18.75" customHeight="1" x14ac:dyDescent="0.25">
      <c r="K36" s="11" t="s">
        <v>60</v>
      </c>
      <c r="Q36" s="9"/>
    </row>
    <row r="37" spans="4:30" ht="18.75" customHeight="1" x14ac:dyDescent="0.25">
      <c r="D37" t="s">
        <v>44</v>
      </c>
      <c r="K37" s="8" t="s">
        <v>61</v>
      </c>
      <c r="Q37" s="9"/>
    </row>
    <row r="38" spans="4:30" ht="18.75" customHeight="1" x14ac:dyDescent="0.25">
      <c r="K38" s="5" t="s">
        <v>62</v>
      </c>
    </row>
    <row r="39" spans="4:30" ht="18.75" customHeight="1" x14ac:dyDescent="0.25"/>
    <row r="40" spans="4:30" ht="18.75" customHeight="1" x14ac:dyDescent="0.25"/>
    <row r="41" spans="4:30" ht="18.75" customHeight="1" x14ac:dyDescent="0.25"/>
    <row r="42" spans="4:30" ht="18.75" customHeight="1" x14ac:dyDescent="0.25"/>
    <row r="43" spans="4:30" ht="18.75" customHeight="1" x14ac:dyDescent="0.25"/>
    <row r="44" spans="4:30" ht="18.75" customHeight="1" x14ac:dyDescent="0.25"/>
    <row r="45" spans="4:30" ht="18.75" customHeight="1" x14ac:dyDescent="0.25"/>
    <row r="46" spans="4:30" ht="18.75" customHeight="1" x14ac:dyDescent="0.25"/>
    <row r="47" spans="4:30" ht="18.75" customHeight="1" x14ac:dyDescent="0.25"/>
    <row r="48" spans="4:30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  <row r="110" ht="18.75" customHeight="1" x14ac:dyDescent="0.25"/>
    <row r="111" ht="18.75" customHeight="1" x14ac:dyDescent="0.25"/>
    <row r="112" ht="18.75" customHeight="1" x14ac:dyDescent="0.25"/>
    <row r="113" ht="18.75" customHeight="1" x14ac:dyDescent="0.25"/>
    <row r="114" ht="18.75" customHeight="1" x14ac:dyDescent="0.25"/>
    <row r="115" ht="18.75" customHeight="1" x14ac:dyDescent="0.25"/>
    <row r="116" ht="18.75" customHeight="1" x14ac:dyDescent="0.25"/>
    <row r="117" ht="18.75" customHeight="1" x14ac:dyDescent="0.25"/>
    <row r="118" ht="18.75" customHeight="1" x14ac:dyDescent="0.25"/>
    <row r="119" ht="18.75" customHeight="1" x14ac:dyDescent="0.25"/>
    <row r="120" ht="18.75" customHeight="1" x14ac:dyDescent="0.25"/>
    <row r="121" ht="18.75" customHeight="1" x14ac:dyDescent="0.25"/>
    <row r="122" ht="18.75" customHeight="1" x14ac:dyDescent="0.25"/>
    <row r="123" ht="18.75" customHeight="1" x14ac:dyDescent="0.25"/>
    <row r="124" ht="18.75" customHeight="1" x14ac:dyDescent="0.25"/>
    <row r="125" ht="18.75" customHeight="1" x14ac:dyDescent="0.25"/>
    <row r="126" ht="18.75" customHeight="1" x14ac:dyDescent="0.25"/>
    <row r="127" ht="18.75" customHeight="1" x14ac:dyDescent="0.25"/>
    <row r="128" ht="18.75" customHeight="1" x14ac:dyDescent="0.25"/>
    <row r="129" ht="18.75" customHeight="1" x14ac:dyDescent="0.25"/>
  </sheetData>
  <mergeCells count="4">
    <mergeCell ref="B1:D1"/>
    <mergeCell ref="I1:K1"/>
    <mergeCell ref="R1:T1"/>
    <mergeCell ref="Y1:AA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KHÓA 2018</vt:lpstr>
      <vt:lpstr>KHÓA 2017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</dc:creator>
  <cp:lastModifiedBy>Tho</cp:lastModifiedBy>
  <cp:lastPrinted>2019-10-08T03:38:59Z</cp:lastPrinted>
  <dcterms:created xsi:type="dcterms:W3CDTF">2019-10-08T01:03:30Z</dcterms:created>
  <dcterms:modified xsi:type="dcterms:W3CDTF">2019-10-15T12:10:21Z</dcterms:modified>
</cp:coreProperties>
</file>